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f10is76.urad.mfcr.cz\EPD_Public\20230531084808_16346_7529824\"/>
    </mc:Choice>
  </mc:AlternateContent>
  <bookViews>
    <workbookView xWindow="0" yWindow="0" windowWidth="24180" windowHeight="11490" tabRatio="910"/>
  </bookViews>
  <sheets>
    <sheet name="Obal" sheetId="31" r:id="rId1"/>
    <sheet name="T1 příjmy " sheetId="36" r:id="rId2"/>
    <sheet name="T2 příjmy bez EUaFM" sheetId="37" r:id="rId3"/>
    <sheet name="T3 příjmy-pojistné " sheetId="15" r:id="rId4"/>
    <sheet name="T4 výdaje " sheetId="38" r:id="rId5"/>
    <sheet name="T5 výdaje bez EUaFM" sheetId="39" r:id="rId6"/>
    <sheet name="T6 ZRS  " sheetId="18" r:id="rId7"/>
    <sheet name="T7 platy OSS a PO" sheetId="24" r:id="rId8"/>
    <sheet name="T8 výzkum bez EUaFM" sheetId="40" r:id="rId9"/>
    <sheet name="T9  soc. výdaje a PZ " sheetId="20" r:id="rId10"/>
    <sheet name="T10 EU 24" sheetId="51" r:id="rId11"/>
    <sheet name="T11 FM 24" sheetId="52" r:id="rId12"/>
    <sheet name="T12 EU-VVI 24" sheetId="53" r:id="rId13"/>
    <sheet name="T13 NPO 24" sheetId="50" r:id="rId14"/>
    <sheet name="T14 SF 2024" sheetId="46" r:id="rId15"/>
    <sheet name="T15 SF 2025" sheetId="47" r:id="rId16"/>
    <sheet name="T16 SF 2026" sheetId="4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Tab16" localSheetId="14">'[1]301-KPR'!#REF!</definedName>
    <definedName name="______________Tab16" localSheetId="15">'[1]301-KPR'!#REF!</definedName>
    <definedName name="______________Tab16" localSheetId="16">'[1]301-KPR'!#REF!</definedName>
    <definedName name="______________Tab16">'[1]301-KPR'!#REF!</definedName>
    <definedName name="_____________Tab16" localSheetId="14">'[1]301-KPR'!#REF!</definedName>
    <definedName name="_____________Tab16" localSheetId="15">'[1]301-KPR'!#REF!</definedName>
    <definedName name="_____________Tab16" localSheetId="16">'[1]301-KPR'!#REF!</definedName>
    <definedName name="_____________Tab16">'[1]301-KPR'!#REF!</definedName>
    <definedName name="____________FM2013" localSheetId="14">'[2]záv.uk,.KPR'!#REF!</definedName>
    <definedName name="____________FM2013" localSheetId="15">'[2]záv.uk,.KPR'!#REF!</definedName>
    <definedName name="____________FM2013" localSheetId="16">'[2]záv.uk,.KPR'!#REF!</definedName>
    <definedName name="____________FM2013">'[2]záv.uk,.KPR'!#REF!</definedName>
    <definedName name="____________Tab16" localSheetId="14">'[1]301-KPR'!#REF!</definedName>
    <definedName name="____________Tab16" localSheetId="15">'[1]301-KPR'!#REF!</definedName>
    <definedName name="____________Tab16" localSheetId="16">'[1]301-KPR'!#REF!</definedName>
    <definedName name="____________Tab16">'[1]301-KPR'!#REF!</definedName>
    <definedName name="___________FM2013" localSheetId="14">'[2]záv.uk,.KPR'!#REF!</definedName>
    <definedName name="___________FM2013" localSheetId="15">'[2]záv.uk,.KPR'!#REF!</definedName>
    <definedName name="___________FM2013" localSheetId="16">'[2]záv.uk,.KPR'!#REF!</definedName>
    <definedName name="___________FM2013">'[2]záv.uk,.KPR'!#REF!</definedName>
    <definedName name="___________Tab16" localSheetId="14">'[1]301-KPR'!#REF!</definedName>
    <definedName name="___________Tab16" localSheetId="15">'[1]301-KPR'!#REF!</definedName>
    <definedName name="___________Tab16" localSheetId="16">'[1]301-KPR'!#REF!</definedName>
    <definedName name="___________Tab16">'[1]301-KPR'!#REF!</definedName>
    <definedName name="__________FM2013" localSheetId="14">'[2]záv.uk,.KPR'!#REF!</definedName>
    <definedName name="__________FM2013" localSheetId="15">'[2]záv.uk,.KPR'!#REF!</definedName>
    <definedName name="__________FM2013" localSheetId="16">'[2]záv.uk,.KPR'!#REF!</definedName>
    <definedName name="__________FM2013">'[2]záv.uk,.KPR'!#REF!</definedName>
    <definedName name="__________Tab16" localSheetId="14">'[1]301-KPR'!#REF!</definedName>
    <definedName name="__________Tab16" localSheetId="15">'[1]301-KPR'!#REF!</definedName>
    <definedName name="__________Tab16" localSheetId="16">'[1]301-KPR'!#REF!</definedName>
    <definedName name="__________Tab16">'[1]301-KPR'!#REF!</definedName>
    <definedName name="_________FM2013" localSheetId="14">'[2]záv.uk,.KPR'!#REF!</definedName>
    <definedName name="_________FM2013" localSheetId="15">'[2]záv.uk,.KPR'!#REF!</definedName>
    <definedName name="_________FM2013" localSheetId="16">'[2]záv.uk,.KPR'!#REF!</definedName>
    <definedName name="_________FM2013">'[2]záv.uk,.KPR'!#REF!</definedName>
    <definedName name="_________Tab16" localSheetId="14">'[1]301-KPR'!#REF!</definedName>
    <definedName name="_________Tab16" localSheetId="15">'[1]301-KPR'!#REF!</definedName>
    <definedName name="_________Tab16" localSheetId="16">'[1]301-KPR'!#REF!</definedName>
    <definedName name="_________Tab16">'[1]301-KPR'!#REF!</definedName>
    <definedName name="________FM2013" localSheetId="14">'[2]záv.uk,.KPR'!#REF!</definedName>
    <definedName name="________FM2013" localSheetId="15">'[2]záv.uk,.KPR'!#REF!</definedName>
    <definedName name="________FM2013" localSheetId="16">'[2]záv.uk,.KPR'!#REF!</definedName>
    <definedName name="________FM2013">'[2]záv.uk,.KPR'!#REF!</definedName>
    <definedName name="________Tab16" localSheetId="14">'[1]301-KPR'!#REF!</definedName>
    <definedName name="________Tab16" localSheetId="15">'[1]301-KPR'!#REF!</definedName>
    <definedName name="________Tab16" localSheetId="16">'[1]301-KPR'!#REF!</definedName>
    <definedName name="________Tab16">'[1]301-KPR'!#REF!</definedName>
    <definedName name="_______FM2013" localSheetId="14">'[2]záv.uk,.KPR'!#REF!</definedName>
    <definedName name="_______FM2013" localSheetId="15">'[2]záv.uk,.KPR'!#REF!</definedName>
    <definedName name="_______FM2013" localSheetId="16">'[2]záv.uk,.KPR'!#REF!</definedName>
    <definedName name="_______FM2013">'[2]záv.uk,.KPR'!#REF!</definedName>
    <definedName name="_______Tab16" localSheetId="14">'[1]301-KPR'!#REF!</definedName>
    <definedName name="_______Tab16" localSheetId="15">'[1]301-KPR'!#REF!</definedName>
    <definedName name="_______Tab16" localSheetId="16">'[1]301-KPR'!#REF!</definedName>
    <definedName name="_______Tab16">'[1]301-KPR'!#REF!</definedName>
    <definedName name="______FM2013" localSheetId="14">'[2]záv.uk,.KPR'!#REF!</definedName>
    <definedName name="______FM2013" localSheetId="15">'[2]záv.uk,.KPR'!#REF!</definedName>
    <definedName name="______FM2013" localSheetId="16">'[2]záv.uk,.KPR'!#REF!</definedName>
    <definedName name="______FM2013">'[2]záv.uk,.KPR'!#REF!</definedName>
    <definedName name="______Tab16" localSheetId="14">'[1]301-KPR'!#REF!</definedName>
    <definedName name="______Tab16" localSheetId="15">'[1]301-KPR'!#REF!</definedName>
    <definedName name="______Tab16" localSheetId="16">'[1]301-KPR'!#REF!</definedName>
    <definedName name="______Tab16">'[1]301-KPR'!#REF!</definedName>
    <definedName name="_____FM2013" localSheetId="14">'[2]záv.uk,.KPR'!#REF!</definedName>
    <definedName name="_____FM2013" localSheetId="15">'[2]záv.uk,.KPR'!#REF!</definedName>
    <definedName name="_____FM2013" localSheetId="16">'[2]záv.uk,.KPR'!#REF!</definedName>
    <definedName name="_____FM2013">'[2]záv.uk,.KPR'!#REF!</definedName>
    <definedName name="_____Tab16" localSheetId="14">'[1]301-KPR'!#REF!</definedName>
    <definedName name="_____Tab16" localSheetId="15">'[1]301-KPR'!#REF!</definedName>
    <definedName name="_____Tab16" localSheetId="16">'[1]301-KPR'!#REF!</definedName>
    <definedName name="_____Tab16">'[3]301-KPR'!#REF!</definedName>
    <definedName name="____FM2013" localSheetId="14">'[2]záv.uk,.KPR'!#REF!</definedName>
    <definedName name="____FM2013" localSheetId="15">'[2]záv.uk,.KPR'!#REF!</definedName>
    <definedName name="____FM2013" localSheetId="16">'[2]záv.uk,.KPR'!#REF!</definedName>
    <definedName name="____FM2013">'[2]záv.uk,.KPR'!#REF!</definedName>
    <definedName name="____Tab16" localSheetId="10">'[3]301-KPR'!#REF!</definedName>
    <definedName name="____Tab16" localSheetId="11">'[3]301-KPR'!#REF!</definedName>
    <definedName name="____Tab16" localSheetId="12">'[3]301-KPR'!#REF!</definedName>
    <definedName name="____Tab16" localSheetId="13">'[3]301-KPR'!#REF!</definedName>
    <definedName name="____Tab16" localSheetId="14">'[1]301-KPR'!#REF!</definedName>
    <definedName name="____Tab16" localSheetId="15">'[1]301-KPR'!#REF!</definedName>
    <definedName name="____Tab16" localSheetId="16">'[1]301-KPR'!#REF!</definedName>
    <definedName name="____Tab16" localSheetId="2">'[4]301-KPR'!#REF!</definedName>
    <definedName name="____Tab16" localSheetId="5">'[4]301-KPR'!#REF!</definedName>
    <definedName name="____Tab16" localSheetId="6">'[4]301-KPR'!#REF!</definedName>
    <definedName name="____Tab16">'[4]301-KPR'!#REF!</definedName>
    <definedName name="___FM2013" localSheetId="14">'[2]záv.uk,.KPR'!#REF!</definedName>
    <definedName name="___FM2013" localSheetId="15">'[2]záv.uk,.KPR'!#REF!</definedName>
    <definedName name="___FM2013" localSheetId="16">'[2]záv.uk,.KPR'!#REF!</definedName>
    <definedName name="___FM2013">'[5]záv.uk,.KPR'!#REF!</definedName>
    <definedName name="___Tab16" localSheetId="10">'[3]301-KPR'!#REF!</definedName>
    <definedName name="___Tab16" localSheetId="11">'[3]301-KPR'!#REF!</definedName>
    <definedName name="___Tab16" localSheetId="12">'[3]301-KPR'!#REF!</definedName>
    <definedName name="___Tab16" localSheetId="13">'[3]301-KPR'!#REF!</definedName>
    <definedName name="___Tab16" localSheetId="14">'[1]301-KPR'!#REF!</definedName>
    <definedName name="___Tab16" localSheetId="15">'[1]301-KPR'!#REF!</definedName>
    <definedName name="___Tab16" localSheetId="16">'[1]301-KPR'!#REF!</definedName>
    <definedName name="___Tab16" localSheetId="2">'[4]301-KPR'!#REF!</definedName>
    <definedName name="___Tab16" localSheetId="5">'[4]301-KPR'!#REF!</definedName>
    <definedName name="___Tab16">'[4]301-KPR'!#REF!</definedName>
    <definedName name="__FM2013" localSheetId="10">'[5]záv.uk,.KPR'!#REF!</definedName>
    <definedName name="__FM2013" localSheetId="11">'[5]záv.uk,.KPR'!#REF!</definedName>
    <definedName name="__FM2013" localSheetId="12">'[5]záv.uk,.KPR'!#REF!</definedName>
    <definedName name="__FM2013" localSheetId="13">'[5]záv.uk,.KPR'!#REF!</definedName>
    <definedName name="__FM2013" localSheetId="14">'[2]záv.uk,.KPR'!#REF!</definedName>
    <definedName name="__FM2013" localSheetId="15">'[2]záv.uk,.KPR'!#REF!</definedName>
    <definedName name="__FM2013" localSheetId="16">'[2]záv.uk,.KPR'!#REF!</definedName>
    <definedName name="__FM2013" localSheetId="2">'[2]záv.uk,.KPR'!#REF!</definedName>
    <definedName name="__FM2013" localSheetId="5">'[2]záv.uk,.KPR'!#REF!</definedName>
    <definedName name="__FM2013">'[2]záv.uk,.KPR'!#REF!</definedName>
    <definedName name="__Tab16" localSheetId="10">'[3]301-KPR'!#REF!</definedName>
    <definedName name="__Tab16" localSheetId="11">'[3]301-KPR'!#REF!</definedName>
    <definedName name="__Tab16" localSheetId="12">'[3]301-KPR'!#REF!</definedName>
    <definedName name="__Tab16" localSheetId="13">'[3]301-KPR'!#REF!</definedName>
    <definedName name="__Tab16" localSheetId="14">'[1]301-KPR'!#REF!</definedName>
    <definedName name="__Tab16" localSheetId="15">'[1]301-KPR'!#REF!</definedName>
    <definedName name="__Tab16" localSheetId="16">'[1]301-KPR'!#REF!</definedName>
    <definedName name="__Tab16" localSheetId="2">'[4]301-KPR'!#REF!</definedName>
    <definedName name="__Tab16" localSheetId="5">'[4]301-KPR'!#REF!</definedName>
    <definedName name="__Tab16">'[4]301-KPR'!#REF!</definedName>
    <definedName name="_FM2013" localSheetId="10">'[5]záv.uk,.KPR'!#REF!</definedName>
    <definedName name="_FM2013" localSheetId="11">'[5]záv.uk,.KPR'!#REF!</definedName>
    <definedName name="_FM2013" localSheetId="12">'[5]záv.uk,.KPR'!#REF!</definedName>
    <definedName name="_FM2013" localSheetId="13">'[5]záv.uk,.KPR'!#REF!</definedName>
    <definedName name="_FM2013" localSheetId="14">'[2]záv.uk,.KPR'!#REF!</definedName>
    <definedName name="_FM2013" localSheetId="15">'[2]záv.uk,.KPR'!#REF!</definedName>
    <definedName name="_FM2013" localSheetId="16">'[2]záv.uk,.KPR'!#REF!</definedName>
    <definedName name="_FM2013" localSheetId="2">'[2]záv.uk,.KPR'!#REF!</definedName>
    <definedName name="_FM2013" localSheetId="5">'[2]záv.uk,.KPR'!#REF!</definedName>
    <definedName name="_FM2013" localSheetId="6">'[2]záv.uk,.KPR'!#REF!</definedName>
    <definedName name="_FM2013">'[2]záv.uk,.KPR'!#REF!</definedName>
    <definedName name="_Tab16" localSheetId="10">'[3]301-KPR'!#REF!</definedName>
    <definedName name="_Tab16" localSheetId="11">'[3]301-KPR'!#REF!</definedName>
    <definedName name="_Tab16" localSheetId="12">'[3]301-KPR'!#REF!</definedName>
    <definedName name="_Tab16" localSheetId="13">'[3]301-KPR'!#REF!</definedName>
    <definedName name="_Tab16" localSheetId="14">'[1]301-KPR'!#REF!</definedName>
    <definedName name="_Tab16" localSheetId="15">'[1]301-KPR'!#REF!</definedName>
    <definedName name="_Tab16" localSheetId="16">'[1]301-KPR'!#REF!</definedName>
    <definedName name="_Tab16" localSheetId="2">'[4]301-KPR'!#REF!</definedName>
    <definedName name="_Tab16" localSheetId="5">'[4]301-KPR'!#REF!</definedName>
    <definedName name="_Tab16">'[4]301-KPR'!#REF!</definedName>
    <definedName name="aa" localSheetId="10">'[6]301-KPR'!#REF!</definedName>
    <definedName name="aa" localSheetId="11">'[6]301-KPR'!#REF!</definedName>
    <definedName name="aa" localSheetId="12">'[6]301-KPR'!#REF!</definedName>
    <definedName name="aa" localSheetId="13">'[6]301-KPR'!#REF!</definedName>
    <definedName name="aa" localSheetId="14">'[1]301-KPR'!#REF!</definedName>
    <definedName name="aa" localSheetId="15">'[1]301-KPR'!#REF!</definedName>
    <definedName name="aa" localSheetId="16">'[1]301-KPR'!#REF!</definedName>
    <definedName name="aa">'[6]301-KPR'!#REF!</definedName>
    <definedName name="AccessDatabase">"C:\Dokumenty\Borisek\Excel\1998\ROZPIS1998\1LEDEN1998\akce98-1.mdb"</definedName>
    <definedName name="AV" localSheetId="10">'[5]záv.uk,.KPR'!#REF!</definedName>
    <definedName name="AV" localSheetId="11">'[5]záv.uk,.KPR'!#REF!</definedName>
    <definedName name="AV" localSheetId="12">'[5]záv.uk,.KPR'!#REF!</definedName>
    <definedName name="AV" localSheetId="13">'[5]záv.uk,.KPR'!#REF!</definedName>
    <definedName name="AV" localSheetId="14">'[7]301-KPR'!#REF!</definedName>
    <definedName name="AV" localSheetId="15">'[7]301-KPR'!#REF!</definedName>
    <definedName name="AV" localSheetId="16">'[7]301-KPR'!#REF!</definedName>
    <definedName name="AV" localSheetId="2">'[2]záv.uk,.KPR'!#REF!</definedName>
    <definedName name="AV" localSheetId="5">'[2]záv.uk,.KPR'!#REF!</definedName>
    <definedName name="AV" localSheetId="6">'[8]301-KPR'!#REF!</definedName>
    <definedName name="AV" localSheetId="7">'[3]301-KPR'!#REF!</definedName>
    <definedName name="AV">'[2]záv.uk,.KPR'!#REF!</definedName>
    <definedName name="AVC" localSheetId="10">'[3]301-KPR'!#REF!</definedName>
    <definedName name="AVC" localSheetId="11">'[3]301-KPR'!#REF!</definedName>
    <definedName name="AVC" localSheetId="12">'[3]301-KPR'!#REF!</definedName>
    <definedName name="AVC" localSheetId="13">'[3]301-KPR'!#REF!</definedName>
    <definedName name="AVC" localSheetId="14">'[1]301-KPR'!#REF!</definedName>
    <definedName name="AVC" localSheetId="15">'[1]301-KPR'!#REF!</definedName>
    <definedName name="AVC" localSheetId="16">'[1]301-KPR'!#REF!</definedName>
    <definedName name="AVC">'[3]301-KPR'!#REF!</definedName>
    <definedName name="AVv" localSheetId="10">'[3]301-KPR'!#REF!</definedName>
    <definedName name="AVv" localSheetId="11">'[3]301-KPR'!#REF!</definedName>
    <definedName name="AVv" localSheetId="12">'[3]301-KPR'!#REF!</definedName>
    <definedName name="AVv" localSheetId="13">'[3]301-KPR'!#REF!</definedName>
    <definedName name="AVv" localSheetId="14">'[1]301-KPR'!#REF!</definedName>
    <definedName name="AVv" localSheetId="15">'[1]301-KPR'!#REF!</definedName>
    <definedName name="AVv" localSheetId="16">'[1]301-KPR'!#REF!</definedName>
    <definedName name="AVv">'[3]301-KPR'!#REF!</definedName>
    <definedName name="baba" localSheetId="10">'[5]záv.uk,.KPR'!#REF!</definedName>
    <definedName name="baba" localSheetId="11">'[5]záv.uk,.KPR'!#REF!</definedName>
    <definedName name="baba" localSheetId="12">'[5]záv.uk,.KPR'!#REF!</definedName>
    <definedName name="baba" localSheetId="13">'[5]záv.uk,.KPR'!#REF!</definedName>
    <definedName name="baba" localSheetId="14">'[2]záv.uk,.KPR'!#REF!</definedName>
    <definedName name="baba" localSheetId="15">'[2]záv.uk,.KPR'!#REF!</definedName>
    <definedName name="baba" localSheetId="16">'[2]záv.uk,.KPR'!#REF!</definedName>
    <definedName name="baba" localSheetId="2">'[2]záv.uk,.KPR'!#REF!</definedName>
    <definedName name="baba" localSheetId="5">'[2]záv.uk,.KPR'!#REF!</definedName>
    <definedName name="baba">'[2]záv.uk,.KPR'!#REF!</definedName>
    <definedName name="BIS" localSheetId="14">'[2]záv.uk,.KPR'!$B$6</definedName>
    <definedName name="BIS" localSheetId="15">'[2]záv.uk,.KPR'!$B$6</definedName>
    <definedName name="BIS" localSheetId="16">'[2]záv.uk,.KPR'!$B$6</definedName>
    <definedName name="BIS">'[2]záv.uk,.KPR'!$B$6</definedName>
    <definedName name="CBU" localSheetId="10">'[5]záv.uk,.KPR'!#REF!</definedName>
    <definedName name="CBU" localSheetId="11">'[5]záv.uk,.KPR'!#REF!</definedName>
    <definedName name="CBU" localSheetId="12">'[5]záv.uk,.KPR'!#REF!</definedName>
    <definedName name="CBU" localSheetId="13">'[5]záv.uk,.KPR'!#REF!</definedName>
    <definedName name="CBU" localSheetId="14">'[7]301-KPR'!#REF!</definedName>
    <definedName name="CBU" localSheetId="15">'[7]301-KPR'!#REF!</definedName>
    <definedName name="CBU" localSheetId="16">'[7]301-KPR'!#REF!</definedName>
    <definedName name="CBU" localSheetId="2">'[2]záv.uk,.KPR'!#REF!</definedName>
    <definedName name="CBU" localSheetId="5">'[2]záv.uk,.KPR'!#REF!</definedName>
    <definedName name="CBU" localSheetId="6">'[8]301-KPR'!#REF!</definedName>
    <definedName name="CBU" localSheetId="7">'[3]301-KPR'!#REF!</definedName>
    <definedName name="CBU">'[2]záv.uk,.KPR'!#REF!</definedName>
    <definedName name="celkem1" localSheetId="10">'[3]301-KPR'!#REF!</definedName>
    <definedName name="celkem1" localSheetId="11">'[3]301-KPR'!#REF!</definedName>
    <definedName name="celkem1" localSheetId="12">'[3]301-KPR'!#REF!</definedName>
    <definedName name="celkem1" localSheetId="13">'[3]301-KPR'!#REF!</definedName>
    <definedName name="celkem1" localSheetId="14">'[1]301-KPR'!#REF!</definedName>
    <definedName name="celkem1" localSheetId="15">'[1]301-KPR'!#REF!</definedName>
    <definedName name="celkem1" localSheetId="16">'[1]301-KPR'!#REF!</definedName>
    <definedName name="celkem1">'[3]301-KPR'!#REF!</definedName>
    <definedName name="CSU" localSheetId="10">'[5]záv.uk,.KPR'!#REF!</definedName>
    <definedName name="CSU" localSheetId="11">'[5]záv.uk,.KPR'!#REF!</definedName>
    <definedName name="CSU" localSheetId="12">'[5]záv.uk,.KPR'!#REF!</definedName>
    <definedName name="CSU" localSheetId="13">'[5]záv.uk,.KPR'!#REF!</definedName>
    <definedName name="CSU" localSheetId="14">'[7]301-KPR'!#REF!</definedName>
    <definedName name="CSU" localSheetId="15">'[7]301-KPR'!#REF!</definedName>
    <definedName name="CSU" localSheetId="16">'[7]301-KPR'!#REF!</definedName>
    <definedName name="CSU" localSheetId="2">'[2]záv.uk,.KPR'!#REF!</definedName>
    <definedName name="CSU" localSheetId="5">'[2]záv.uk,.KPR'!#REF!</definedName>
    <definedName name="CSU" localSheetId="6">'[8]301-KPR'!#REF!</definedName>
    <definedName name="CSU" localSheetId="7">'[3]301-KPR'!#REF!</definedName>
    <definedName name="CSU">'[2]záv.uk,.KPR'!#REF!</definedName>
    <definedName name="CUZK" localSheetId="10">'[5]záv.uk,.KPR'!#REF!</definedName>
    <definedName name="CUZK" localSheetId="11">'[5]záv.uk,.KPR'!#REF!</definedName>
    <definedName name="CUZK" localSheetId="12">'[5]záv.uk,.KPR'!#REF!</definedName>
    <definedName name="CUZK" localSheetId="13">'[5]záv.uk,.KPR'!#REF!</definedName>
    <definedName name="CUZK" localSheetId="14">'[7]301-KPR'!#REF!</definedName>
    <definedName name="CUZK" localSheetId="15">'[7]301-KPR'!#REF!</definedName>
    <definedName name="CUZK" localSheetId="16">'[7]301-KPR'!#REF!</definedName>
    <definedName name="CUZK" localSheetId="2">'[2]záv.uk,.KPR'!#REF!</definedName>
    <definedName name="CUZK" localSheetId="5">'[2]záv.uk,.KPR'!#REF!</definedName>
    <definedName name="CUZK" localSheetId="6">'[8]301-KPR'!#REF!</definedName>
    <definedName name="CUZK" localSheetId="7">'[3]301-KPR'!#REF!</definedName>
    <definedName name="CUZK">'[2]záv.uk,.KPR'!#REF!</definedName>
    <definedName name="CÚZK" localSheetId="10">'[9]301'!#REF!</definedName>
    <definedName name="CÚZK" localSheetId="11">'[9]301'!#REF!</definedName>
    <definedName name="CÚZK" localSheetId="12">'[9]301'!#REF!</definedName>
    <definedName name="CÚZK" localSheetId="13">'[9]301'!#REF!</definedName>
    <definedName name="CÚZK" localSheetId="14">'[9]301'!#REF!</definedName>
    <definedName name="CÚZK" localSheetId="15">'[9]301'!#REF!</definedName>
    <definedName name="CÚZK" localSheetId="16">'[9]301'!#REF!</definedName>
    <definedName name="CÚZK">'[9]301'!#REF!</definedName>
    <definedName name="CUZKL" localSheetId="10">'[3]301-KPR'!#REF!</definedName>
    <definedName name="CUZKL" localSheetId="11">'[3]301-KPR'!#REF!</definedName>
    <definedName name="CUZKL" localSheetId="12">'[3]301-KPR'!#REF!</definedName>
    <definedName name="CUZKL" localSheetId="13">'[3]301-KPR'!#REF!</definedName>
    <definedName name="CUZKL" localSheetId="14">'[1]301-KPR'!#REF!</definedName>
    <definedName name="CUZKL" localSheetId="15">'[1]301-KPR'!#REF!</definedName>
    <definedName name="CUZKL" localSheetId="16">'[1]301-KPR'!#REF!</definedName>
    <definedName name="CUZKL">'[3]301-KPR'!#REF!</definedName>
    <definedName name="DF_GRID_1" localSheetId="10">#REF!</definedName>
    <definedName name="DF_GRID_1" localSheetId="11">#REF!</definedName>
    <definedName name="DF_GRID_1" localSheetId="12">#REF!</definedName>
    <definedName name="DF_GRID_1" localSheetId="13">#REF!</definedName>
    <definedName name="DF_GRID_1" localSheetId="14">#REF!</definedName>
    <definedName name="DF_GRID_1" localSheetId="15">#REF!</definedName>
    <definedName name="DF_GRID_1" localSheetId="16">#REF!</definedName>
    <definedName name="DF_GRID_1">#REF!</definedName>
    <definedName name="GA" localSheetId="10">'[5]záv.uk,.KPR'!#REF!</definedName>
    <definedName name="GA" localSheetId="11">'[5]záv.uk,.KPR'!#REF!</definedName>
    <definedName name="GA" localSheetId="12">'[5]záv.uk,.KPR'!#REF!</definedName>
    <definedName name="GA" localSheetId="13">'[5]záv.uk,.KPR'!#REF!</definedName>
    <definedName name="GA" localSheetId="14">'[7]301-KPR'!#REF!</definedName>
    <definedName name="GA" localSheetId="15">'[7]301-KPR'!#REF!</definedName>
    <definedName name="GA" localSheetId="16">'[7]301-KPR'!#REF!</definedName>
    <definedName name="GA" localSheetId="2">'[2]záv.uk,.KPR'!#REF!</definedName>
    <definedName name="GA" localSheetId="5">'[2]záv.uk,.KPR'!#REF!</definedName>
    <definedName name="GA" localSheetId="6">'[8]301-KPR'!#REF!</definedName>
    <definedName name="GA" localSheetId="7">'[3]301-KPR'!#REF!</definedName>
    <definedName name="GA">'[2]záv.uk,.KPR'!#REF!</definedName>
    <definedName name="GAE" localSheetId="10">'[3]301-KPR'!#REF!</definedName>
    <definedName name="GAE" localSheetId="11">'[3]301-KPR'!#REF!</definedName>
    <definedName name="GAE" localSheetId="12">'[3]301-KPR'!#REF!</definedName>
    <definedName name="GAE" localSheetId="13">'[3]301-KPR'!#REF!</definedName>
    <definedName name="GAE" localSheetId="14">'[1]301-KPR'!#REF!</definedName>
    <definedName name="GAE" localSheetId="15">'[1]301-KPR'!#REF!</definedName>
    <definedName name="GAE" localSheetId="16">'[1]301-KPR'!#REF!</definedName>
    <definedName name="GAE">'[3]301-KPR'!#REF!</definedName>
    <definedName name="gggg" localSheetId="10">#REF!</definedName>
    <definedName name="gggg" localSheetId="11">#REF!</definedName>
    <definedName name="gggg" localSheetId="12">#REF!</definedName>
    <definedName name="gggg" localSheetId="13">#REF!</definedName>
    <definedName name="gggg" localSheetId="14">#REF!</definedName>
    <definedName name="gggg" localSheetId="15">#REF!</definedName>
    <definedName name="gggg" localSheetId="16">#REF!</definedName>
    <definedName name="gggg">#REF!</definedName>
    <definedName name="hhh" localSheetId="10">#REF!</definedName>
    <definedName name="hhh" localSheetId="11">#REF!</definedName>
    <definedName name="hhh" localSheetId="12">#REF!</definedName>
    <definedName name="hhh" localSheetId="13">#REF!</definedName>
    <definedName name="hhh" localSheetId="14">#REF!</definedName>
    <definedName name="hhh" localSheetId="15">#REF!</definedName>
    <definedName name="hhh" localSheetId="16">#REF!</definedName>
    <definedName name="hhh">#REF!</definedName>
    <definedName name="hhhh" localSheetId="14">'[10]301-KPR'!#REF!</definedName>
    <definedName name="hhhh" localSheetId="15">'[10]301-KPR'!#REF!</definedName>
    <definedName name="hhhh" localSheetId="16">'[10]301-KPR'!#REF!</definedName>
    <definedName name="hhhh">'[10]301-KPR'!#REF!</definedName>
    <definedName name="jik" localSheetId="10">#REF!</definedName>
    <definedName name="jik" localSheetId="11">#REF!</definedName>
    <definedName name="jik" localSheetId="12">#REF!</definedName>
    <definedName name="jik" localSheetId="13">#REF!</definedName>
    <definedName name="jik" localSheetId="14">#REF!</definedName>
    <definedName name="jik" localSheetId="15">#REF!</definedName>
    <definedName name="jik" localSheetId="16">#REF!</definedName>
    <definedName name="jik">#REF!</definedName>
    <definedName name="jjj" localSheetId="10">#REF!</definedName>
    <definedName name="jjj" localSheetId="11">#REF!</definedName>
    <definedName name="jjj" localSheetId="12">#REF!</definedName>
    <definedName name="jjj" localSheetId="13">#REF!</definedName>
    <definedName name="jjj" localSheetId="14">#REF!</definedName>
    <definedName name="jjj" localSheetId="15">#REF!</definedName>
    <definedName name="jjj" localSheetId="16">#REF!</definedName>
    <definedName name="jjj">#REF!</definedName>
    <definedName name="jksefjnsdf" localSheetId="10">'[3]301-KPR'!#REF!</definedName>
    <definedName name="jksefjnsdf" localSheetId="11">'[3]301-KPR'!#REF!</definedName>
    <definedName name="jksefjnsdf" localSheetId="12">'[3]301-KPR'!#REF!</definedName>
    <definedName name="jksefjnsdf" localSheetId="13">'[3]301-KPR'!#REF!</definedName>
    <definedName name="jksefjnsdf" localSheetId="14">'[1]301-KPR'!#REF!</definedName>
    <definedName name="jksefjnsdf" localSheetId="15">'[1]301-KPR'!#REF!</definedName>
    <definedName name="jksefjnsdf" localSheetId="16">'[1]301-KPR'!#REF!</definedName>
    <definedName name="jksefjnsdf">'[3]301-KPR'!#REF!</definedName>
    <definedName name="KK" localSheetId="10">#REF!</definedName>
    <definedName name="KK" localSheetId="11">#REF!</definedName>
    <definedName name="KK" localSheetId="12">#REF!</definedName>
    <definedName name="KK" localSheetId="13">#REF!</definedName>
    <definedName name="KK" localSheetId="14">#REF!</definedName>
    <definedName name="KK" localSheetId="15">#REF!</definedName>
    <definedName name="KK" localSheetId="16">#REF!</definedName>
    <definedName name="KK">#REF!</definedName>
    <definedName name="kkkk" localSheetId="10">'[11]301-KPR'!#REF!</definedName>
    <definedName name="kkkk" localSheetId="11">'[11]301-KPR'!#REF!</definedName>
    <definedName name="kkkk" localSheetId="12">'[11]301-KPR'!#REF!</definedName>
    <definedName name="kkkk" localSheetId="13">'[11]301-KPR'!#REF!</definedName>
    <definedName name="kkkk" localSheetId="14">'[7]301-KPR'!#REF!</definedName>
    <definedName name="kkkk" localSheetId="15">'[7]301-KPR'!#REF!</definedName>
    <definedName name="kkkk" localSheetId="16">'[7]301-KPR'!#REF!</definedName>
    <definedName name="kkkk" localSheetId="2">'[8]301-KPR'!#REF!</definedName>
    <definedName name="kkkk" localSheetId="5">'[8]301-KPR'!#REF!</definedName>
    <definedName name="kkkk">'[8]301-KPR'!#REF!</definedName>
    <definedName name="kkkkk" localSheetId="14">'[10]301-KPR'!#REF!</definedName>
    <definedName name="kkkkk" localSheetId="15">'[10]301-KPR'!#REF!</definedName>
    <definedName name="kkkkk" localSheetId="16">'[10]301-KPR'!#REF!</definedName>
    <definedName name="kkkkk">'[10]301-KPR'!#REF!</definedName>
    <definedName name="kontrolní" localSheetId="10">'[12]301'!#REF!</definedName>
    <definedName name="kontrolní" localSheetId="11">'[12]301'!#REF!</definedName>
    <definedName name="kontrolní" localSheetId="12">'[12]301'!#REF!</definedName>
    <definedName name="kontrolní" localSheetId="13">'[12]301'!#REF!</definedName>
    <definedName name="kontrolní" localSheetId="14">'[12]301'!#REF!</definedName>
    <definedName name="kontrolní" localSheetId="15">'[12]301'!#REF!</definedName>
    <definedName name="kontrolní" localSheetId="16">'[12]301'!#REF!</definedName>
    <definedName name="kontrolní">'[12]301'!#REF!</definedName>
    <definedName name="KPR" localSheetId="14">'[7]301-KPR'!#REF!</definedName>
    <definedName name="KPR" localSheetId="15">'[7]301-KPR'!#REF!</definedName>
    <definedName name="KPR" localSheetId="16">'[7]301-KPR'!#REF!</definedName>
    <definedName name="KPR" localSheetId="6">'[8]301-KPR'!#REF!</definedName>
    <definedName name="KPR">'[2]záv.uk,.KPR'!$B$30</definedName>
    <definedName name="MDS" localSheetId="10">'[5]záv.uk,.KPR'!#REF!</definedName>
    <definedName name="MDS" localSheetId="11">'[5]záv.uk,.KPR'!#REF!</definedName>
    <definedName name="MDS" localSheetId="12">'[5]záv.uk,.KPR'!#REF!</definedName>
    <definedName name="MDS" localSheetId="13">'[5]záv.uk,.KPR'!#REF!</definedName>
    <definedName name="MDS" localSheetId="14">'[7]301-KPR'!#REF!</definedName>
    <definedName name="MDS" localSheetId="15">'[7]301-KPR'!#REF!</definedName>
    <definedName name="MDS" localSheetId="16">'[7]301-KPR'!#REF!</definedName>
    <definedName name="MDS" localSheetId="2">'[2]záv.uk,.KPR'!#REF!</definedName>
    <definedName name="MDS" localSheetId="5">'[2]záv.uk,.KPR'!#REF!</definedName>
    <definedName name="MDS" localSheetId="6">'[8]301-KPR'!#REF!</definedName>
    <definedName name="MDS" localSheetId="7">'[3]301-KPR'!#REF!</definedName>
    <definedName name="MDS">'[2]záv.uk,.KPR'!#REF!</definedName>
    <definedName name="MF" localSheetId="14">'[2]záv.uk,.KPR'!$B$6</definedName>
    <definedName name="MF" localSheetId="15">'[2]záv.uk,.KPR'!$B$6</definedName>
    <definedName name="MF" localSheetId="16">'[2]záv.uk,.KPR'!$B$6</definedName>
    <definedName name="MF">'[2]záv.uk,.KPR'!$B$6</definedName>
    <definedName name="min_obdobi" localSheetId="10">#REF!</definedName>
    <definedName name="min_obdobi" localSheetId="11">#REF!</definedName>
    <definedName name="min_obdobi" localSheetId="12">#REF!</definedName>
    <definedName name="min_obdobi" localSheetId="13">#REF!</definedName>
    <definedName name="min_obdobi" localSheetId="14">#REF!</definedName>
    <definedName name="min_obdobi" localSheetId="15">#REF!</definedName>
    <definedName name="min_obdobi" localSheetId="16">#REF!</definedName>
    <definedName name="min_obdobi">#REF!</definedName>
    <definedName name="MK" localSheetId="10">'[5]záv.uk,.KPR'!#REF!</definedName>
    <definedName name="MK" localSheetId="11">'[5]záv.uk,.KPR'!#REF!</definedName>
    <definedName name="MK" localSheetId="12">'[5]záv.uk,.KPR'!#REF!</definedName>
    <definedName name="MK" localSheetId="13">'[5]záv.uk,.KPR'!#REF!</definedName>
    <definedName name="MK" localSheetId="14">'[7]301-KPR'!#REF!</definedName>
    <definedName name="MK" localSheetId="15">'[7]301-KPR'!#REF!</definedName>
    <definedName name="MK" localSheetId="16">'[7]301-KPR'!#REF!</definedName>
    <definedName name="MK" localSheetId="2">'[2]záv.uk,.KPR'!#REF!</definedName>
    <definedName name="MK" localSheetId="5">'[2]záv.uk,.KPR'!#REF!</definedName>
    <definedName name="MK" localSheetId="6">'[8]301-KPR'!#REF!</definedName>
    <definedName name="MK" localSheetId="7">'[3]301-KPR'!#REF!</definedName>
    <definedName name="MK">'[2]záv.uk,.KPR'!#REF!</definedName>
    <definedName name="MMR" localSheetId="14">'[2]záv.uk,.KPR'!$B$6</definedName>
    <definedName name="MMR" localSheetId="15">'[2]záv.uk,.KPR'!$B$6</definedName>
    <definedName name="MMR" localSheetId="16">'[2]záv.uk,.KPR'!$B$6</definedName>
    <definedName name="MMR">'[2]záv.uk,.KPR'!$B$6</definedName>
    <definedName name="MO" localSheetId="14">'[2]záv.uk,.KPR'!$B$6</definedName>
    <definedName name="MO" localSheetId="15">'[2]záv.uk,.KPR'!$B$6</definedName>
    <definedName name="MO" localSheetId="16">'[2]záv.uk,.KPR'!$B$6</definedName>
    <definedName name="MO">'[2]záv.uk,.KPR'!$B$6</definedName>
    <definedName name="MPO" localSheetId="10">'[5]záv.uk,.KPR'!#REF!</definedName>
    <definedName name="MPO" localSheetId="11">'[5]záv.uk,.KPR'!#REF!</definedName>
    <definedName name="MPO" localSheetId="12">'[5]záv.uk,.KPR'!#REF!</definedName>
    <definedName name="MPO" localSheetId="13">'[5]záv.uk,.KPR'!#REF!</definedName>
    <definedName name="MPO" localSheetId="14">'[7]301-KPR'!#REF!</definedName>
    <definedName name="MPO" localSheetId="15">'[7]301-KPR'!#REF!</definedName>
    <definedName name="MPO" localSheetId="16">'[7]301-KPR'!#REF!</definedName>
    <definedName name="MPO" localSheetId="2">'[2]záv.uk,.KPR'!#REF!</definedName>
    <definedName name="MPO" localSheetId="5">'[2]záv.uk,.KPR'!#REF!</definedName>
    <definedName name="MPO" localSheetId="6">'[8]301-KPR'!#REF!</definedName>
    <definedName name="MPO" localSheetId="7">'[3]301-KPR'!#REF!</definedName>
    <definedName name="MPO">'[2]záv.uk,.KPR'!#REF!</definedName>
    <definedName name="MPSV" localSheetId="14">'[2]záv.uk,.KPR'!$B$6</definedName>
    <definedName name="MPSV" localSheetId="15">'[2]záv.uk,.KPR'!$B$6</definedName>
    <definedName name="MPSV" localSheetId="16">'[2]záv.uk,.KPR'!$B$6</definedName>
    <definedName name="MPSV">'[2]záv.uk,.KPR'!$B$6</definedName>
    <definedName name="MS" localSheetId="10">'[5]záv.uk,.KPR'!#REF!</definedName>
    <definedName name="MS" localSheetId="11">'[5]záv.uk,.KPR'!#REF!</definedName>
    <definedName name="MS" localSheetId="12">'[5]záv.uk,.KPR'!#REF!</definedName>
    <definedName name="MS" localSheetId="13">'[5]záv.uk,.KPR'!#REF!</definedName>
    <definedName name="MS" localSheetId="14">'[7]301-KPR'!#REF!</definedName>
    <definedName name="MS" localSheetId="15">'[7]301-KPR'!#REF!</definedName>
    <definedName name="MS" localSheetId="16">'[7]301-KPR'!#REF!</definedName>
    <definedName name="MS" localSheetId="2">'[2]záv.uk,.KPR'!#REF!</definedName>
    <definedName name="MS" localSheetId="5">'[2]záv.uk,.KPR'!#REF!</definedName>
    <definedName name="MS" localSheetId="6">'[8]301-KPR'!#REF!</definedName>
    <definedName name="MS" localSheetId="7">'[3]301-KPR'!#REF!</definedName>
    <definedName name="MS">'[2]záv.uk,.KPR'!#REF!</definedName>
    <definedName name="MSMT" localSheetId="10">'[5]záv.uk,.KPR'!#REF!</definedName>
    <definedName name="MSMT" localSheetId="11">'[5]záv.uk,.KPR'!#REF!</definedName>
    <definedName name="MSMT" localSheetId="12">'[5]záv.uk,.KPR'!#REF!</definedName>
    <definedName name="MSMT" localSheetId="13">'[5]záv.uk,.KPR'!#REF!</definedName>
    <definedName name="MSMT" localSheetId="14">'[7]301-KPR'!#REF!</definedName>
    <definedName name="MSMT" localSheetId="15">'[7]301-KPR'!#REF!</definedName>
    <definedName name="MSMT" localSheetId="16">'[7]301-KPR'!#REF!</definedName>
    <definedName name="MSMT" localSheetId="2">'[2]záv.uk,.KPR'!#REF!</definedName>
    <definedName name="MSMT" localSheetId="5">'[2]záv.uk,.KPR'!#REF!</definedName>
    <definedName name="MSMT" localSheetId="6">'[8]301-KPR'!#REF!</definedName>
    <definedName name="MSMT" localSheetId="7">'[3]301-KPR'!#REF!</definedName>
    <definedName name="MSMT">'[2]záv.uk,.KPR'!#REF!</definedName>
    <definedName name="MSMT1" localSheetId="10">'[3]301-KPR'!#REF!</definedName>
    <definedName name="MSMT1" localSheetId="11">'[3]301-KPR'!#REF!</definedName>
    <definedName name="MSMT1" localSheetId="12">'[3]301-KPR'!#REF!</definedName>
    <definedName name="MSMT1" localSheetId="13">'[3]301-KPR'!#REF!</definedName>
    <definedName name="MSMT1" localSheetId="14">'[1]301-KPR'!#REF!</definedName>
    <definedName name="MSMT1" localSheetId="15">'[1]301-KPR'!#REF!</definedName>
    <definedName name="MSMT1" localSheetId="16">'[1]301-KPR'!#REF!</definedName>
    <definedName name="MSMT1">'[3]301-KPR'!#REF!</definedName>
    <definedName name="MV" localSheetId="14">'[2]záv.uk,.KPR'!$B$6</definedName>
    <definedName name="MV" localSheetId="15">'[2]záv.uk,.KPR'!$B$6</definedName>
    <definedName name="MV" localSheetId="16">'[2]záv.uk,.KPR'!$B$6</definedName>
    <definedName name="MV">'[2]záv.uk,.KPR'!$B$6</definedName>
    <definedName name="MZdr" localSheetId="10">'[5]záv.uk,.KPR'!#REF!</definedName>
    <definedName name="MZdr" localSheetId="11">'[5]záv.uk,.KPR'!#REF!</definedName>
    <definedName name="MZdr" localSheetId="12">'[5]záv.uk,.KPR'!#REF!</definedName>
    <definedName name="MZdr" localSheetId="13">'[5]záv.uk,.KPR'!#REF!</definedName>
    <definedName name="MZdr" localSheetId="14">'[7]301-KPR'!#REF!</definedName>
    <definedName name="MZdr" localSheetId="15">'[7]301-KPR'!#REF!</definedName>
    <definedName name="MZdr" localSheetId="16">'[7]301-KPR'!#REF!</definedName>
    <definedName name="MZdr" localSheetId="2">'[2]záv.uk,.KPR'!#REF!</definedName>
    <definedName name="MZdr" localSheetId="5">'[2]záv.uk,.KPR'!#REF!</definedName>
    <definedName name="MZdr" localSheetId="6">'[8]301-KPR'!#REF!</definedName>
    <definedName name="MZdr" localSheetId="7">'[3]301-KPR'!#REF!</definedName>
    <definedName name="MZdr">'[2]záv.uk,.KPR'!#REF!</definedName>
    <definedName name="MZe" localSheetId="10">'[5]záv.uk,.KPR'!#REF!</definedName>
    <definedName name="MZe" localSheetId="11">'[5]záv.uk,.KPR'!#REF!</definedName>
    <definedName name="MZe" localSheetId="12">'[5]záv.uk,.KPR'!#REF!</definedName>
    <definedName name="MZe" localSheetId="13">'[5]záv.uk,.KPR'!#REF!</definedName>
    <definedName name="MZe" localSheetId="14">'[7]301-KPR'!#REF!</definedName>
    <definedName name="MZe" localSheetId="15">'[7]301-KPR'!#REF!</definedName>
    <definedName name="MZe" localSheetId="16">'[7]301-KPR'!#REF!</definedName>
    <definedName name="MZe" localSheetId="2">'[2]záv.uk,.KPR'!#REF!</definedName>
    <definedName name="MZe" localSheetId="5">'[2]záv.uk,.KPR'!#REF!</definedName>
    <definedName name="MZe" localSheetId="6">'[8]301-KPR'!#REF!</definedName>
    <definedName name="MZe" localSheetId="7">'[3]301-KPR'!#REF!</definedName>
    <definedName name="MZe">'[2]záv.uk,.KPR'!#REF!</definedName>
    <definedName name="MZP" localSheetId="14">'[2]záv.uk,.KPR'!$B$6</definedName>
    <definedName name="MZP" localSheetId="15">'[2]záv.uk,.KPR'!$B$6</definedName>
    <definedName name="MZP" localSheetId="16">'[2]záv.uk,.KPR'!$B$6</definedName>
    <definedName name="MZP">'[2]záv.uk,.KPR'!$B$6</definedName>
    <definedName name="MZv" localSheetId="14">'[2]záv.uk,.KPR'!$B$6</definedName>
    <definedName name="MZv" localSheetId="15">'[2]záv.uk,.KPR'!$B$6</definedName>
    <definedName name="MZv" localSheetId="16">'[2]záv.uk,.KPR'!$B$6</definedName>
    <definedName name="MZv">'[2]záv.uk,.KPR'!$B$6</definedName>
    <definedName name="_xlnm.Print_Titles" localSheetId="10">'T10 EU 24'!$1:$7</definedName>
    <definedName name="_xlnm.Print_Titles" localSheetId="7">'T7 platy OSS a PO'!$B:$B</definedName>
    <definedName name="NKU" localSheetId="10">'[5]záv.uk,.KPR'!#REF!</definedName>
    <definedName name="NKU" localSheetId="11">'[5]záv.uk,.KPR'!#REF!</definedName>
    <definedName name="NKU" localSheetId="12">'[5]záv.uk,.KPR'!#REF!</definedName>
    <definedName name="NKU" localSheetId="13">'[5]záv.uk,.KPR'!#REF!</definedName>
    <definedName name="NKU" localSheetId="14">'[7]301-KPR'!#REF!</definedName>
    <definedName name="NKU" localSheetId="15">'[7]301-KPR'!#REF!</definedName>
    <definedName name="NKU" localSheetId="16">'[7]301-KPR'!#REF!</definedName>
    <definedName name="NKU" localSheetId="2">'[2]záv.uk,.KPR'!#REF!</definedName>
    <definedName name="NKU" localSheetId="5">'[2]záv.uk,.KPR'!#REF!</definedName>
    <definedName name="NKU" localSheetId="6">'[8]301-KPR'!#REF!</definedName>
    <definedName name="NKU" localSheetId="7">'[3]301-KPR'!#REF!</definedName>
    <definedName name="NKU">'[2]záv.uk,.KPR'!#REF!</definedName>
    <definedName name="obdobi" localSheetId="10">#REF!</definedName>
    <definedName name="obdobi" localSheetId="11">#REF!</definedName>
    <definedName name="obdobi" localSheetId="12">#REF!</definedName>
    <definedName name="obdobi" localSheetId="13">#REF!</definedName>
    <definedName name="obdobi" localSheetId="14">#REF!</definedName>
    <definedName name="obdobi" localSheetId="15">#REF!</definedName>
    <definedName name="obdobi" localSheetId="16">#REF!</definedName>
    <definedName name="obdobi">#REF!</definedName>
    <definedName name="_xlnm.Print_Area" localSheetId="0">Obal!$B$2:$C$36</definedName>
    <definedName name="_xlnm.Print_Area" localSheetId="1">'T1 příjmy '!$B$1:$L$58</definedName>
    <definedName name="_xlnm.Print_Area" localSheetId="10">'T10 EU 24'!$B$1:$F$159</definedName>
    <definedName name="_xlnm.Print_Area" localSheetId="11">'T11 FM 24'!$B$1:$F$22</definedName>
    <definedName name="_xlnm.Print_Area" localSheetId="12">'T12 EU-VVI 24'!$B$1:$F$25</definedName>
    <definedName name="_xlnm.Print_Area" localSheetId="13">'T13 NPO 24'!$B$1:$F$46</definedName>
    <definedName name="_xlnm.Print_Area" localSheetId="14">'T14 SF 2024'!$B$1:$I$20</definedName>
    <definedName name="_xlnm.Print_Area" localSheetId="15">'T15 SF 2025'!$B$1:$I$20</definedName>
    <definedName name="_xlnm.Print_Area" localSheetId="16">'T16 SF 2026'!$B$1:$I$20</definedName>
    <definedName name="_xlnm.Print_Area" localSheetId="2">'T2 příjmy bez EUaFM'!$B$1:$P$58</definedName>
    <definedName name="_xlnm.Print_Area" localSheetId="3">'T3 příjmy-pojistné '!$B$1:$N$58</definedName>
    <definedName name="_xlnm.Print_Area" localSheetId="4">'T4 výdaje '!$B$1:$L$60</definedName>
    <definedName name="_xlnm.Print_Area" localSheetId="5">'T5 výdaje bez EUaFM'!$B$1:$P$60</definedName>
    <definedName name="_xlnm.Print_Area" localSheetId="6">'T6 ZRS  '!$B$1:$N$25</definedName>
    <definedName name="_xlnm.Print_Area" localSheetId="7">'T7 platy OSS a PO'!$B$1:$N$58</definedName>
    <definedName name="_xlnm.Print_Area" localSheetId="8">'T8 výzkum bez EUaFM'!$B$1:$N$58</definedName>
    <definedName name="_xlnm.Print_Area" localSheetId="9">'T9  soc. výdaje a PZ '!$B$1:$O$45</definedName>
    <definedName name="pol" localSheetId="10">#REF!</definedName>
    <definedName name="pol" localSheetId="11">#REF!</definedName>
    <definedName name="pol" localSheetId="12">#REF!</definedName>
    <definedName name="pol" localSheetId="13">#REF!</definedName>
    <definedName name="pol" localSheetId="14">#REF!</definedName>
    <definedName name="pol" localSheetId="15">#REF!</definedName>
    <definedName name="pol" localSheetId="16">#REF!</definedName>
    <definedName name="pol">#REF!</definedName>
    <definedName name="PSP" localSheetId="14">'[2]záv.uk,.KPR'!$B$6</definedName>
    <definedName name="PSP" localSheetId="15">'[2]záv.uk,.KPR'!$B$6</definedName>
    <definedName name="PSP" localSheetId="16">'[2]záv.uk,.KPR'!$B$6</definedName>
    <definedName name="PSP">'[2]záv.uk,.KPR'!$B$6</definedName>
    <definedName name="RRTV" localSheetId="10">'[5]záv.uk,.KPR'!#REF!</definedName>
    <definedName name="RRTV" localSheetId="11">'[5]záv.uk,.KPR'!#REF!</definedName>
    <definedName name="RRTV" localSheetId="12">'[5]záv.uk,.KPR'!#REF!</definedName>
    <definedName name="RRTV" localSheetId="13">'[5]záv.uk,.KPR'!#REF!</definedName>
    <definedName name="RRTV" localSheetId="14">'[7]301-KPR'!#REF!</definedName>
    <definedName name="RRTV" localSheetId="15">'[7]301-KPR'!#REF!</definedName>
    <definedName name="RRTV" localSheetId="16">'[7]301-KPR'!#REF!</definedName>
    <definedName name="RRTV" localSheetId="2">'[2]záv.uk,.KPR'!#REF!</definedName>
    <definedName name="RRTV" localSheetId="5">'[2]záv.uk,.KPR'!#REF!</definedName>
    <definedName name="RRTV" localSheetId="6">'[8]301-KPR'!#REF!</definedName>
    <definedName name="RRTV" localSheetId="7">'[3]301-KPR'!#REF!</definedName>
    <definedName name="RRTV">'[2]záv.uk,.KPR'!#REF!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10">#REF!</definedName>
    <definedName name="SD" localSheetId="11">#REF!</definedName>
    <definedName name="SD" localSheetId="12">#REF!</definedName>
    <definedName name="SD" localSheetId="13">#REF!</definedName>
    <definedName name="SD" localSheetId="14">#REF!</definedName>
    <definedName name="SD" localSheetId="15">#REF!</definedName>
    <definedName name="SD" localSheetId="16">#REF!</definedName>
    <definedName name="SD">#REF!</definedName>
    <definedName name="SP" localSheetId="14">'[2]záv.uk,.KPR'!$B$6</definedName>
    <definedName name="SP" localSheetId="15">'[2]záv.uk,.KPR'!$B$6</definedName>
    <definedName name="SP" localSheetId="16">'[2]záv.uk,.KPR'!$B$6</definedName>
    <definedName name="SP">'[2]záv.uk,.KPR'!$B$6</definedName>
    <definedName name="ss" localSheetId="10">#REF!</definedName>
    <definedName name="ss" localSheetId="11">#REF!</definedName>
    <definedName name="ss" localSheetId="12">#REF!</definedName>
    <definedName name="ss" localSheetId="13">#REF!</definedName>
    <definedName name="ss" localSheetId="14">#REF!</definedName>
    <definedName name="ss" localSheetId="15">#REF!</definedName>
    <definedName name="ss" localSheetId="16">#REF!</definedName>
    <definedName name="ss">#REF!</definedName>
    <definedName name="SSHR" localSheetId="10">'[5]záv.uk,.KPR'!#REF!</definedName>
    <definedName name="SSHR" localSheetId="11">'[5]záv.uk,.KPR'!#REF!</definedName>
    <definedName name="SSHR" localSheetId="12">'[5]záv.uk,.KPR'!#REF!</definedName>
    <definedName name="SSHR" localSheetId="13">'[5]záv.uk,.KPR'!#REF!</definedName>
    <definedName name="SSHR" localSheetId="14">'[7]301-KPR'!#REF!</definedName>
    <definedName name="SSHR" localSheetId="15">'[7]301-KPR'!#REF!</definedName>
    <definedName name="SSHR" localSheetId="16">'[7]301-KPR'!#REF!</definedName>
    <definedName name="SSHR" localSheetId="2">'[2]záv.uk,.KPR'!#REF!</definedName>
    <definedName name="SSHR" localSheetId="5">'[2]záv.uk,.KPR'!#REF!</definedName>
    <definedName name="SSHR" localSheetId="6">'[8]301-KPR'!#REF!</definedName>
    <definedName name="SSHR" localSheetId="7">'[3]301-KPR'!#REF!</definedName>
    <definedName name="SSHR">'[2]záv.uk,.KPR'!#REF!</definedName>
    <definedName name="SUJB" localSheetId="10">'[5]záv.uk,.KPR'!#REF!</definedName>
    <definedName name="SUJB" localSheetId="11">'[5]záv.uk,.KPR'!#REF!</definedName>
    <definedName name="SUJB" localSheetId="12">'[5]záv.uk,.KPR'!#REF!</definedName>
    <definedName name="SUJB" localSheetId="13">'[5]záv.uk,.KPR'!#REF!</definedName>
    <definedName name="SUJB" localSheetId="14">'[7]301-KPR'!#REF!</definedName>
    <definedName name="SUJB" localSheetId="15">'[7]301-KPR'!#REF!</definedName>
    <definedName name="SUJB" localSheetId="16">'[7]301-KPR'!#REF!</definedName>
    <definedName name="SUJB" localSheetId="2">'[2]záv.uk,.KPR'!#REF!</definedName>
    <definedName name="SUJB" localSheetId="5">'[2]záv.uk,.KPR'!#REF!</definedName>
    <definedName name="SUJB" localSheetId="6">'[8]301-KPR'!#REF!</definedName>
    <definedName name="SUJB" localSheetId="7">'[3]301-KPR'!#REF!</definedName>
    <definedName name="SUJB">'[2]záv.uk,.KPR'!#REF!</definedName>
    <definedName name="SV" localSheetId="14">'[1]301-KPR'!#REF!</definedName>
    <definedName name="SV" localSheetId="15">'[1]301-KPR'!#REF!</definedName>
    <definedName name="SV" localSheetId="16">'[1]301-KPR'!#REF!</definedName>
    <definedName name="SV">'[1]301-KPR'!#REF!</definedName>
    <definedName name="TABULKA_1" localSheetId="6">#N/A</definedName>
    <definedName name="TABULKA_1">#N/A</definedName>
    <definedName name="TABULKA_2" localSheetId="6">#N/A</definedName>
    <definedName name="TABULKA_2">#N/A</definedName>
    <definedName name="UOHS" localSheetId="10">'[5]záv.uk,.KPR'!#REF!</definedName>
    <definedName name="UOHS" localSheetId="11">'[5]záv.uk,.KPR'!#REF!</definedName>
    <definedName name="UOHS" localSheetId="12">'[5]záv.uk,.KPR'!#REF!</definedName>
    <definedName name="UOHS" localSheetId="13">'[5]záv.uk,.KPR'!#REF!</definedName>
    <definedName name="UOHS" localSheetId="14">'[7]301-KPR'!#REF!</definedName>
    <definedName name="UOHS" localSheetId="15">'[7]301-KPR'!#REF!</definedName>
    <definedName name="UOHS" localSheetId="16">'[7]301-KPR'!#REF!</definedName>
    <definedName name="UOHS" localSheetId="2">'[2]záv.uk,.KPR'!#REF!</definedName>
    <definedName name="UOHS" localSheetId="5">'[2]záv.uk,.KPR'!#REF!</definedName>
    <definedName name="UOHS" localSheetId="6">'[8]301-KPR'!#REF!</definedName>
    <definedName name="UOHS" localSheetId="7">'[3]301-KPR'!#REF!</definedName>
    <definedName name="UOHS">'[2]záv.uk,.KPR'!#REF!</definedName>
    <definedName name="UPV" localSheetId="10">'[5]záv.uk,.KPR'!#REF!</definedName>
    <definedName name="UPV" localSheetId="11">'[5]záv.uk,.KPR'!#REF!</definedName>
    <definedName name="UPV" localSheetId="12">'[5]záv.uk,.KPR'!#REF!</definedName>
    <definedName name="UPV" localSheetId="13">'[5]záv.uk,.KPR'!#REF!</definedName>
    <definedName name="UPV" localSheetId="14">'[7]301-KPR'!#REF!</definedName>
    <definedName name="UPV" localSheetId="15">'[7]301-KPR'!#REF!</definedName>
    <definedName name="UPV" localSheetId="16">'[7]301-KPR'!#REF!</definedName>
    <definedName name="UPV" localSheetId="2">'[2]záv.uk,.KPR'!#REF!</definedName>
    <definedName name="UPV" localSheetId="5">'[2]záv.uk,.KPR'!#REF!</definedName>
    <definedName name="UPV" localSheetId="6">'[8]301-KPR'!#REF!</definedName>
    <definedName name="UPV" localSheetId="7">'[3]301-KPR'!#REF!</definedName>
    <definedName name="UPV">'[2]záv.uk,.KPR'!#REF!</definedName>
    <definedName name="US" localSheetId="10">'[5]záv.uk,.KPR'!#REF!</definedName>
    <definedName name="US" localSheetId="11">'[5]záv.uk,.KPR'!#REF!</definedName>
    <definedName name="US" localSheetId="12">'[5]záv.uk,.KPR'!#REF!</definedName>
    <definedName name="US" localSheetId="13">'[5]záv.uk,.KPR'!#REF!</definedName>
    <definedName name="US" localSheetId="14">'[7]301-KPR'!#REF!</definedName>
    <definedName name="US" localSheetId="15">'[7]301-KPR'!#REF!</definedName>
    <definedName name="US" localSheetId="16">'[7]301-KPR'!#REF!</definedName>
    <definedName name="US" localSheetId="2">'[2]záv.uk,.KPR'!#REF!</definedName>
    <definedName name="US" localSheetId="5">'[2]záv.uk,.KPR'!#REF!</definedName>
    <definedName name="US" localSheetId="6">'[8]301-KPR'!#REF!</definedName>
    <definedName name="US" localSheetId="7">'[3]301-KPR'!#REF!</definedName>
    <definedName name="US">'[2]záv.uk,.KPR'!#REF!</definedName>
    <definedName name="USIS" localSheetId="10">'[5]záv.uk,.KPR'!#REF!</definedName>
    <definedName name="USIS" localSheetId="11">'[5]záv.uk,.KPR'!#REF!</definedName>
    <definedName name="USIS" localSheetId="12">'[5]záv.uk,.KPR'!#REF!</definedName>
    <definedName name="USIS" localSheetId="13">'[5]záv.uk,.KPR'!#REF!</definedName>
    <definedName name="USIS" localSheetId="14">'[7]301-KPR'!#REF!</definedName>
    <definedName name="USIS" localSheetId="15">'[7]301-KPR'!#REF!</definedName>
    <definedName name="USIS" localSheetId="16">'[7]301-KPR'!#REF!</definedName>
    <definedName name="USIS" localSheetId="2">'[2]záv.uk,.KPR'!#REF!</definedName>
    <definedName name="USIS" localSheetId="5">'[2]záv.uk,.KPR'!#REF!</definedName>
    <definedName name="USIS" localSheetId="6">'[8]301-KPR'!#REF!</definedName>
    <definedName name="USIS" localSheetId="7">'[3]301-KPR'!#REF!</definedName>
    <definedName name="USIS">'[2]záv.uk,.KPR'!#REF!</definedName>
    <definedName name="UV" localSheetId="14">'[2]záv.uk,.KPR'!$B$6</definedName>
    <definedName name="UV" localSheetId="15">'[2]záv.uk,.KPR'!$B$6</definedName>
    <definedName name="UV" localSheetId="16">'[2]záv.uk,.KPR'!$B$6</definedName>
    <definedName name="UV">'[2]záv.uk,.KPR'!$B$6</definedName>
    <definedName name="VSTUPY_1" localSheetId="6">#N/A</definedName>
    <definedName name="VSTUPY_1">#N/A</definedName>
    <definedName name="VSTUPY_2" localSheetId="6">#N/A</definedName>
    <definedName name="VSTUPY_2">#N/A</definedName>
    <definedName name="xxc" localSheetId="14">'[1]301-KPR'!#REF!</definedName>
    <definedName name="xxc" localSheetId="15">'[1]301-KPR'!#REF!</definedName>
    <definedName name="xxc" localSheetId="16">'[1]301-KPR'!#REF!</definedName>
    <definedName name="xxc">'[3]301-KPR'!#REF!</definedName>
    <definedName name="xxv" localSheetId="14">'[7]301-KPR'!#REF!</definedName>
    <definedName name="xxv" localSheetId="15">'[7]301-KPR'!#REF!</definedName>
    <definedName name="xxv" localSheetId="16">'[7]301-KPR'!#REF!</definedName>
    <definedName name="xxv">'[7]301-KPR'!#REF!</definedName>
    <definedName name="XXXXX" localSheetId="14">'[10]301-KPR'!#REF!</definedName>
    <definedName name="XXXXX" localSheetId="15">'[10]301-KPR'!#REF!</definedName>
    <definedName name="XXXXX" localSheetId="16">'[10]301-KPR'!#REF!</definedName>
    <definedName name="XXXXX">'[10]301-KPR'!#REF!</definedName>
    <definedName name="xxxxxxx" localSheetId="10">'[5]záv.uk,.KPR'!#REF!</definedName>
    <definedName name="xxxxxxx" localSheetId="11">'[5]záv.uk,.KPR'!#REF!</definedName>
    <definedName name="xxxxxxx" localSheetId="12">'[5]záv.uk,.KPR'!#REF!</definedName>
    <definedName name="xxxxxxx" localSheetId="13">'[5]záv.uk,.KPR'!#REF!</definedName>
    <definedName name="xxxxxxx" localSheetId="14">'[2]záv.uk,.KPR'!#REF!</definedName>
    <definedName name="xxxxxxx" localSheetId="15">'[2]záv.uk,.KPR'!#REF!</definedName>
    <definedName name="xxxxxxx" localSheetId="16">'[2]záv.uk,.KPR'!#REF!</definedName>
    <definedName name="xxxxxxx" localSheetId="2">'[2]záv.uk,.KPR'!#REF!</definedName>
    <definedName name="xxxxxxx" localSheetId="5">'[2]záv.uk,.KPR'!#REF!</definedName>
    <definedName name="xxxxxxx" localSheetId="6">'[2]záv.uk,.KPR'!#REF!</definedName>
    <definedName name="xxxxxxx">'[2]záv.uk,.KPR'!#REF!</definedName>
    <definedName name="změna" localSheetId="14">'[10]301-KPR'!#REF!</definedName>
    <definedName name="změna" localSheetId="15">'[10]301-KPR'!#REF!</definedName>
    <definedName name="změna" localSheetId="16">'[10]301-KPR'!#REF!</definedName>
    <definedName name="změna">'[10]301-KPR'!#REF!</definedName>
    <definedName name="změny" localSheetId="14">'[10]301-KPR'!#REF!</definedName>
    <definedName name="změny" localSheetId="15">'[10]301-KPR'!#REF!</definedName>
    <definedName name="změny" localSheetId="16">'[10]301-KPR'!#REF!</definedName>
    <definedName name="změny">'[10]301-KPR'!#REF!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36" l="1"/>
  <c r="J37" i="36" l="1"/>
  <c r="C19" i="48" l="1"/>
  <c r="I18" i="48"/>
  <c r="F18" i="48"/>
  <c r="E18" i="48"/>
  <c r="D18" i="48"/>
  <c r="C18" i="48" s="1"/>
  <c r="C17" i="48"/>
  <c r="C16" i="48"/>
  <c r="C15" i="48"/>
  <c r="C14" i="48"/>
  <c r="F13" i="48"/>
  <c r="F12" i="48" s="1"/>
  <c r="E13" i="48"/>
  <c r="E12" i="48" s="1"/>
  <c r="D13" i="48"/>
  <c r="C13" i="48" s="1"/>
  <c r="I12" i="48"/>
  <c r="I6" i="48" s="1"/>
  <c r="I20" i="48" s="1"/>
  <c r="H12" i="48"/>
  <c r="G12" i="48"/>
  <c r="C11" i="48"/>
  <c r="C10" i="48"/>
  <c r="I9" i="48"/>
  <c r="H9" i="48"/>
  <c r="G9" i="48"/>
  <c r="F9" i="48"/>
  <c r="E9" i="48"/>
  <c r="D9" i="48"/>
  <c r="C8" i="48"/>
  <c r="C7" i="48"/>
  <c r="C19" i="47"/>
  <c r="I18" i="47"/>
  <c r="F18" i="47"/>
  <c r="C18" i="47" s="1"/>
  <c r="E18" i="47"/>
  <c r="D18" i="47"/>
  <c r="C17" i="47"/>
  <c r="I16" i="47"/>
  <c r="C16" i="47"/>
  <c r="I15" i="47"/>
  <c r="C15" i="47"/>
  <c r="C14" i="47"/>
  <c r="I13" i="47"/>
  <c r="F13" i="47"/>
  <c r="F12" i="47" s="1"/>
  <c r="E13" i="47"/>
  <c r="C13" i="47" s="1"/>
  <c r="D13" i="47"/>
  <c r="I12" i="47"/>
  <c r="H12" i="47"/>
  <c r="G12" i="47"/>
  <c r="D12" i="47"/>
  <c r="I11" i="47"/>
  <c r="C11" i="47"/>
  <c r="I10" i="47"/>
  <c r="C10" i="47" s="1"/>
  <c r="H9" i="47"/>
  <c r="H6" i="47" s="1"/>
  <c r="H20" i="47" s="1"/>
  <c r="G9" i="47"/>
  <c r="G6" i="47" s="1"/>
  <c r="G20" i="47" s="1"/>
  <c r="F9" i="47"/>
  <c r="E9" i="47"/>
  <c r="D9" i="47"/>
  <c r="C8" i="47"/>
  <c r="I7" i="47"/>
  <c r="D7" i="47"/>
  <c r="C7" i="47"/>
  <c r="I19" i="46"/>
  <c r="H19" i="46"/>
  <c r="C19" i="46" s="1"/>
  <c r="I18" i="46"/>
  <c r="F18" i="46"/>
  <c r="E18" i="46"/>
  <c r="D18" i="46"/>
  <c r="C18" i="46" s="1"/>
  <c r="C17" i="46"/>
  <c r="I16" i="46"/>
  <c r="C16" i="46"/>
  <c r="I15" i="46"/>
  <c r="C15" i="46"/>
  <c r="C14" i="46"/>
  <c r="I13" i="46"/>
  <c r="I12" i="46" s="1"/>
  <c r="F13" i="46"/>
  <c r="E13" i="46"/>
  <c r="C13" i="46" s="1"/>
  <c r="D13" i="46"/>
  <c r="H12" i="46"/>
  <c r="G12" i="46"/>
  <c r="F12" i="46"/>
  <c r="D12" i="46"/>
  <c r="I11" i="46"/>
  <c r="C11" i="46" s="1"/>
  <c r="I10" i="46"/>
  <c r="C10" i="46" s="1"/>
  <c r="H9" i="46"/>
  <c r="G9" i="46"/>
  <c r="F9" i="46"/>
  <c r="F6" i="46" s="1"/>
  <c r="F20" i="46" s="1"/>
  <c r="E9" i="46"/>
  <c r="D9" i="46"/>
  <c r="D8" i="46"/>
  <c r="C8" i="46" s="1"/>
  <c r="I7" i="46"/>
  <c r="D7" i="46"/>
  <c r="C7" i="46" s="1"/>
  <c r="F6" i="48" l="1"/>
  <c r="F20" i="48" s="1"/>
  <c r="G6" i="46"/>
  <c r="G20" i="46" s="1"/>
  <c r="C9" i="48"/>
  <c r="H6" i="48"/>
  <c r="H20" i="48" s="1"/>
  <c r="G6" i="48"/>
  <c r="G20" i="48" s="1"/>
  <c r="E6" i="48"/>
  <c r="E20" i="48" s="1"/>
  <c r="D12" i="48"/>
  <c r="C12" i="48" s="1"/>
  <c r="D6" i="47"/>
  <c r="D20" i="47" s="1"/>
  <c r="F6" i="47"/>
  <c r="F20" i="47" s="1"/>
  <c r="I9" i="47"/>
  <c r="C9" i="47" s="1"/>
  <c r="E12" i="47"/>
  <c r="E6" i="47" s="1"/>
  <c r="H6" i="46"/>
  <c r="H20" i="46" s="1"/>
  <c r="D6" i="46"/>
  <c r="E12" i="46"/>
  <c r="E6" i="46" s="1"/>
  <c r="E20" i="46" s="1"/>
  <c r="I9" i="46"/>
  <c r="D6" i="48" l="1"/>
  <c r="D20" i="48"/>
  <c r="C20" i="48" s="1"/>
  <c r="C6" i="48"/>
  <c r="C12" i="47"/>
  <c r="E20" i="47"/>
  <c r="I6" i="47"/>
  <c r="I20" i="47" s="1"/>
  <c r="D20" i="46"/>
  <c r="C12" i="46"/>
  <c r="C9" i="46"/>
  <c r="I6" i="46"/>
  <c r="I20" i="46" s="1"/>
  <c r="C20" i="47" l="1"/>
  <c r="C6" i="47"/>
  <c r="C6" i="46"/>
  <c r="C20" i="46"/>
  <c r="N58" i="40" l="1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L8" i="20"/>
  <c r="K8" i="20"/>
  <c r="J8" i="20"/>
  <c r="I8" i="20"/>
  <c r="H8" i="20"/>
  <c r="H37" i="20" s="1"/>
  <c r="H41" i="20" s="1"/>
  <c r="H43" i="20" s="1"/>
  <c r="G8" i="20"/>
  <c r="N58" i="39" l="1"/>
  <c r="N55" i="39"/>
  <c r="N54" i="39"/>
  <c r="N53" i="39"/>
  <c r="N52" i="39"/>
  <c r="N51" i="39"/>
  <c r="N50" i="39"/>
  <c r="N49" i="39"/>
  <c r="N48" i="39"/>
  <c r="N47" i="39"/>
  <c r="N46" i="39"/>
  <c r="N45" i="39"/>
  <c r="N44" i="39"/>
  <c r="N43" i="39"/>
  <c r="N42" i="39"/>
  <c r="N41" i="39"/>
  <c r="N40" i="39"/>
  <c r="N39" i="39"/>
  <c r="N38" i="39"/>
  <c r="N37" i="39"/>
  <c r="N36" i="39"/>
  <c r="N35" i="39"/>
  <c r="N34" i="39"/>
  <c r="N33" i="39"/>
  <c r="N32" i="39"/>
  <c r="N31" i="39"/>
  <c r="N30" i="39"/>
  <c r="N29" i="39"/>
  <c r="N28" i="39"/>
  <c r="N27" i="39"/>
  <c r="N26" i="39"/>
  <c r="N25" i="39"/>
  <c r="N24" i="39"/>
  <c r="N23" i="39"/>
  <c r="N22" i="39"/>
  <c r="N21" i="39"/>
  <c r="N20" i="39"/>
  <c r="N19" i="39"/>
  <c r="N18" i="39"/>
  <c r="N17" i="39"/>
  <c r="N16" i="39"/>
  <c r="N15" i="39"/>
  <c r="N14" i="39"/>
  <c r="N13" i="39"/>
  <c r="N12" i="39"/>
  <c r="N11" i="39"/>
  <c r="N10" i="39"/>
  <c r="N9" i="39"/>
  <c r="N8" i="39"/>
  <c r="L58" i="38"/>
  <c r="L55" i="38"/>
  <c r="L54" i="38"/>
  <c r="L53" i="38"/>
  <c r="L52" i="38"/>
  <c r="L51" i="38"/>
  <c r="L50" i="38"/>
  <c r="L49" i="38"/>
  <c r="L48" i="38"/>
  <c r="L47" i="38"/>
  <c r="L46" i="38"/>
  <c r="L45" i="38"/>
  <c r="L44" i="38"/>
  <c r="L43" i="38"/>
  <c r="L42" i="38"/>
  <c r="L41" i="38"/>
  <c r="L40" i="38"/>
  <c r="L39" i="38"/>
  <c r="L38" i="38"/>
  <c r="L37" i="38"/>
  <c r="L36" i="38"/>
  <c r="L35" i="38"/>
  <c r="L34" i="38"/>
  <c r="L33" i="38"/>
  <c r="L32" i="38"/>
  <c r="L31" i="38"/>
  <c r="L30" i="38"/>
  <c r="L29" i="38"/>
  <c r="L28" i="38"/>
  <c r="L27" i="38"/>
  <c r="L26" i="38"/>
  <c r="L25" i="38"/>
  <c r="L24" i="38"/>
  <c r="L23" i="38"/>
  <c r="L22" i="38"/>
  <c r="L21" i="38"/>
  <c r="L20" i="38"/>
  <c r="L19" i="38"/>
  <c r="L18" i="38"/>
  <c r="L17" i="38"/>
  <c r="L16" i="38"/>
  <c r="L15" i="38"/>
  <c r="L14" i="38"/>
  <c r="L13" i="38"/>
  <c r="L12" i="38"/>
  <c r="L11" i="38"/>
  <c r="L10" i="38"/>
  <c r="L9" i="38"/>
  <c r="L8" i="38"/>
  <c r="N55" i="15" l="1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3" i="15"/>
  <c r="N12" i="15"/>
  <c r="N11" i="15"/>
  <c r="N14" i="15"/>
  <c r="N58" i="37" l="1"/>
  <c r="N55" i="37"/>
  <c r="N54" i="37"/>
  <c r="N53" i="37"/>
  <c r="N52" i="37"/>
  <c r="N51" i="37"/>
  <c r="N50" i="37"/>
  <c r="N49" i="37"/>
  <c r="N48" i="37"/>
  <c r="N47" i="37"/>
  <c r="N46" i="37"/>
  <c r="N45" i="37"/>
  <c r="N44" i="37"/>
  <c r="N43" i="37"/>
  <c r="N42" i="37"/>
  <c r="N41" i="37"/>
  <c r="N40" i="37"/>
  <c r="N39" i="37"/>
  <c r="N38" i="37"/>
  <c r="N37" i="37"/>
  <c r="N36" i="37"/>
  <c r="N35" i="37"/>
  <c r="N34" i="37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L13" i="36"/>
  <c r="L12" i="36"/>
  <c r="L11" i="36"/>
  <c r="L10" i="36"/>
  <c r="L9" i="36"/>
  <c r="L8" i="36"/>
  <c r="L58" i="36"/>
  <c r="L55" i="36"/>
  <c r="L54" i="36"/>
  <c r="L53" i="36"/>
  <c r="L52" i="36"/>
  <c r="L51" i="36"/>
  <c r="L50" i="36"/>
  <c r="L49" i="36"/>
  <c r="L48" i="36"/>
  <c r="L47" i="36"/>
  <c r="L46" i="36"/>
  <c r="L45" i="36"/>
  <c r="L44" i="36"/>
  <c r="L43" i="36"/>
  <c r="L42" i="36"/>
  <c r="L41" i="36"/>
  <c r="L40" i="36"/>
  <c r="L39" i="36"/>
  <c r="L38" i="36"/>
  <c r="L37" i="36"/>
  <c r="L36" i="36"/>
  <c r="L35" i="36"/>
  <c r="L34" i="36"/>
  <c r="L33" i="36"/>
  <c r="L32" i="36"/>
  <c r="L31" i="36"/>
  <c r="L30" i="36"/>
  <c r="L29" i="36"/>
  <c r="L28" i="36"/>
  <c r="L27" i="36"/>
  <c r="L26" i="36"/>
  <c r="L25" i="36"/>
  <c r="L24" i="36"/>
  <c r="L23" i="36"/>
  <c r="L22" i="36"/>
  <c r="L21" i="36"/>
  <c r="L20" i="36"/>
  <c r="L19" i="36"/>
  <c r="L18" i="36"/>
  <c r="L17" i="36"/>
  <c r="L16" i="36"/>
  <c r="L15" i="36"/>
  <c r="L14" i="36"/>
  <c r="P43" i="39"/>
  <c r="O43" i="39"/>
  <c r="M43" i="39"/>
  <c r="K43" i="38" l="1"/>
  <c r="M43" i="15"/>
  <c r="K43" i="36"/>
  <c r="P43" i="37"/>
  <c r="O43" i="37"/>
  <c r="M43" i="37"/>
  <c r="E45" i="50" l="1"/>
  <c r="F44" i="50"/>
  <c r="F43" i="50"/>
  <c r="F45" i="50" s="1"/>
  <c r="F42" i="50"/>
  <c r="F41" i="50"/>
  <c r="E40" i="50"/>
  <c r="F40" i="50" s="1"/>
  <c r="F39" i="50"/>
  <c r="F38" i="50"/>
  <c r="F37" i="50"/>
  <c r="F36" i="50"/>
  <c r="E35" i="50"/>
  <c r="D35" i="50"/>
  <c r="F34" i="50"/>
  <c r="F33" i="50"/>
  <c r="F32" i="50"/>
  <c r="F35" i="50" s="1"/>
  <c r="F31" i="50"/>
  <c r="E30" i="50"/>
  <c r="F30" i="50" s="1"/>
  <c r="F29" i="50"/>
  <c r="F28" i="50"/>
  <c r="E27" i="50"/>
  <c r="F26" i="50"/>
  <c r="F25" i="50"/>
  <c r="F24" i="50"/>
  <c r="F23" i="50"/>
  <c r="F22" i="50"/>
  <c r="F21" i="50"/>
  <c r="F20" i="50"/>
  <c r="F19" i="50"/>
  <c r="F18" i="50"/>
  <c r="F17" i="50"/>
  <c r="F16" i="50"/>
  <c r="F27" i="50" s="1"/>
  <c r="F15" i="50"/>
  <c r="E14" i="50"/>
  <c r="D14" i="50"/>
  <c r="D46" i="50" s="1"/>
  <c r="F13" i="50"/>
  <c r="F12" i="50"/>
  <c r="F11" i="50"/>
  <c r="F10" i="50"/>
  <c r="E9" i="50"/>
  <c r="D9" i="50"/>
  <c r="F8" i="50"/>
  <c r="F7" i="50"/>
  <c r="F9" i="50" s="1"/>
  <c r="F6" i="50"/>
  <c r="E24" i="53"/>
  <c r="D24" i="53"/>
  <c r="F23" i="53"/>
  <c r="F22" i="53"/>
  <c r="F21" i="53"/>
  <c r="F20" i="53"/>
  <c r="F19" i="53"/>
  <c r="F18" i="53"/>
  <c r="F17" i="53"/>
  <c r="E16" i="53"/>
  <c r="E25" i="53" s="1"/>
  <c r="D16" i="53"/>
  <c r="D25" i="53" s="1"/>
  <c r="F15" i="53"/>
  <c r="F14" i="53"/>
  <c r="F13" i="53"/>
  <c r="F12" i="53"/>
  <c r="F11" i="53"/>
  <c r="F10" i="53"/>
  <c r="F9" i="53"/>
  <c r="F8" i="53"/>
  <c r="F7" i="53"/>
  <c r="F14" i="50" l="1"/>
  <c r="E46" i="50"/>
  <c r="F46" i="50"/>
  <c r="F24" i="53"/>
  <c r="F16" i="53"/>
  <c r="F25" i="53" s="1"/>
  <c r="F21" i="52"/>
  <c r="F20" i="52"/>
  <c r="F19" i="52"/>
  <c r="F18" i="52"/>
  <c r="E17" i="52"/>
  <c r="E22" i="52" s="1"/>
  <c r="D17" i="52"/>
  <c r="D22" i="52" s="1"/>
  <c r="F16" i="52"/>
  <c r="F15" i="52"/>
  <c r="F14" i="52"/>
  <c r="F13" i="52"/>
  <c r="F12" i="52"/>
  <c r="F11" i="52"/>
  <c r="F10" i="52"/>
  <c r="F9" i="52"/>
  <c r="F8" i="52"/>
  <c r="F159" i="51"/>
  <c r="F157" i="51"/>
  <c r="F156" i="51"/>
  <c r="F155" i="51"/>
  <c r="F154" i="51"/>
  <c r="F153" i="51"/>
  <c r="F152" i="51"/>
  <c r="F151" i="51"/>
  <c r="F150" i="51"/>
  <c r="F149" i="51"/>
  <c r="F148" i="51"/>
  <c r="F147" i="51"/>
  <c r="F146" i="51"/>
  <c r="F145" i="51"/>
  <c r="F144" i="51"/>
  <c r="F143" i="51"/>
  <c r="F142" i="51"/>
  <c r="F141" i="51"/>
  <c r="F140" i="51"/>
  <c r="F139" i="51"/>
  <c r="F138" i="51"/>
  <c r="F137" i="51"/>
  <c r="F136" i="51"/>
  <c r="F135" i="51"/>
  <c r="F134" i="51"/>
  <c r="F133" i="51"/>
  <c r="F132" i="51"/>
  <c r="F131" i="51"/>
  <c r="F130" i="51"/>
  <c r="F129" i="51"/>
  <c r="F128" i="51"/>
  <c r="F127" i="51"/>
  <c r="F126" i="51"/>
  <c r="F125" i="51"/>
  <c r="F124" i="51"/>
  <c r="F123" i="51"/>
  <c r="F122" i="51"/>
  <c r="F121" i="51"/>
  <c r="F120" i="51"/>
  <c r="F119" i="51"/>
  <c r="F118" i="51"/>
  <c r="F117" i="51"/>
  <c r="F116" i="51"/>
  <c r="F115" i="51"/>
  <c r="F114" i="51"/>
  <c r="F113" i="51"/>
  <c r="F112" i="51"/>
  <c r="F111" i="51"/>
  <c r="F110" i="51"/>
  <c r="F109" i="51"/>
  <c r="F108" i="51"/>
  <c r="F107" i="51"/>
  <c r="F106" i="51"/>
  <c r="F105" i="51"/>
  <c r="F104" i="51"/>
  <c r="F103" i="51"/>
  <c r="F102" i="51"/>
  <c r="F101" i="51"/>
  <c r="F100" i="51"/>
  <c r="F99" i="51"/>
  <c r="F98" i="51"/>
  <c r="F97" i="51"/>
  <c r="F96" i="51"/>
  <c r="F95" i="51"/>
  <c r="F94" i="51"/>
  <c r="F93" i="51"/>
  <c r="F92" i="51"/>
  <c r="F91" i="51"/>
  <c r="F90" i="51"/>
  <c r="F89" i="51"/>
  <c r="F88" i="51"/>
  <c r="F87" i="51"/>
  <c r="F86" i="51"/>
  <c r="F85" i="51"/>
  <c r="F84" i="51"/>
  <c r="F83" i="51"/>
  <c r="F82" i="51"/>
  <c r="F81" i="51"/>
  <c r="F80" i="51"/>
  <c r="F79" i="51"/>
  <c r="F78" i="51"/>
  <c r="F77" i="51"/>
  <c r="F76" i="51"/>
  <c r="F75" i="51"/>
  <c r="F74" i="51"/>
  <c r="F73" i="51"/>
  <c r="F72" i="51"/>
  <c r="F71" i="51"/>
  <c r="F70" i="51"/>
  <c r="F69" i="51"/>
  <c r="F68" i="51"/>
  <c r="F67" i="51"/>
  <c r="F66" i="51"/>
  <c r="F65" i="51"/>
  <c r="F64" i="51"/>
  <c r="F63" i="51"/>
  <c r="F62" i="51"/>
  <c r="F61" i="51"/>
  <c r="F60" i="51"/>
  <c r="F59" i="51"/>
  <c r="F58" i="51"/>
  <c r="F57" i="51"/>
  <c r="F56" i="51"/>
  <c r="F55" i="51"/>
  <c r="F54" i="51"/>
  <c r="F53" i="51"/>
  <c r="F52" i="51"/>
  <c r="F51" i="51"/>
  <c r="F50" i="51"/>
  <c r="F49" i="51"/>
  <c r="F48" i="51"/>
  <c r="F47" i="51"/>
  <c r="F46" i="51"/>
  <c r="F45" i="51"/>
  <c r="F44" i="51"/>
  <c r="F43" i="51"/>
  <c r="F42" i="51"/>
  <c r="F41" i="51"/>
  <c r="F40" i="51"/>
  <c r="F39" i="51"/>
  <c r="F38" i="51"/>
  <c r="F37" i="51"/>
  <c r="F36" i="51"/>
  <c r="F35" i="51"/>
  <c r="F34" i="51"/>
  <c r="F33" i="51"/>
  <c r="F32" i="51"/>
  <c r="F31" i="51"/>
  <c r="F30" i="51"/>
  <c r="F29" i="51"/>
  <c r="F28" i="51"/>
  <c r="F27" i="51"/>
  <c r="F26" i="51"/>
  <c r="F25" i="51"/>
  <c r="F24" i="51"/>
  <c r="F23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F10" i="51"/>
  <c r="F9" i="51"/>
  <c r="F8" i="51"/>
  <c r="F17" i="52" l="1"/>
  <c r="F22" i="52" s="1"/>
  <c r="G7" i="18" l="1"/>
  <c r="G23" i="18" l="1"/>
  <c r="G60" i="39"/>
  <c r="H60" i="39"/>
  <c r="H60" i="38" l="1"/>
  <c r="G60" i="38"/>
  <c r="L37" i="37" l="1"/>
  <c r="O35" i="20" l="1"/>
  <c r="N35" i="20"/>
  <c r="M35" i="20"/>
  <c r="O43" i="20"/>
  <c r="O42" i="20"/>
  <c r="O41" i="20"/>
  <c r="O40" i="20"/>
  <c r="O39" i="20"/>
  <c r="O38" i="20"/>
  <c r="O37" i="20"/>
  <c r="O36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N43" i="20"/>
  <c r="N42" i="20"/>
  <c r="N41" i="20"/>
  <c r="N40" i="20"/>
  <c r="N39" i="20"/>
  <c r="N38" i="20"/>
  <c r="N37" i="20"/>
  <c r="N36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M43" i="20"/>
  <c r="M42" i="20"/>
  <c r="M41" i="20"/>
  <c r="M40" i="20"/>
  <c r="M39" i="20"/>
  <c r="M38" i="20"/>
  <c r="M37" i="20"/>
  <c r="M36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3" i="20"/>
  <c r="M12" i="20"/>
  <c r="M11" i="20"/>
  <c r="M10" i="20"/>
  <c r="M9" i="20"/>
  <c r="M8" i="20"/>
  <c r="M58" i="40" l="1"/>
  <c r="L58" i="40"/>
  <c r="M55" i="40"/>
  <c r="M54" i="40"/>
  <c r="M53" i="40"/>
  <c r="M52" i="40"/>
  <c r="M51" i="40"/>
  <c r="M50" i="40"/>
  <c r="L50" i="40"/>
  <c r="M49" i="40"/>
  <c r="M48" i="40"/>
  <c r="M47" i="40"/>
  <c r="M46" i="40"/>
  <c r="M45" i="40"/>
  <c r="M44" i="40"/>
  <c r="M42" i="40"/>
  <c r="M41" i="40"/>
  <c r="L41" i="40"/>
  <c r="M40" i="40"/>
  <c r="M39" i="40"/>
  <c r="M38" i="40"/>
  <c r="M37" i="40"/>
  <c r="M36" i="40"/>
  <c r="M35" i="40"/>
  <c r="M34" i="40"/>
  <c r="M33" i="40"/>
  <c r="M32" i="40"/>
  <c r="M31" i="40"/>
  <c r="M30" i="40"/>
  <c r="M29" i="40"/>
  <c r="L29" i="40"/>
  <c r="M28" i="40"/>
  <c r="L28" i="40"/>
  <c r="M27" i="40"/>
  <c r="L27" i="40"/>
  <c r="M26" i="40"/>
  <c r="L26" i="40"/>
  <c r="M25" i="40"/>
  <c r="M24" i="40"/>
  <c r="L24" i="40"/>
  <c r="M23" i="40"/>
  <c r="L23" i="40"/>
  <c r="M22" i="40"/>
  <c r="L22" i="40"/>
  <c r="M21" i="40"/>
  <c r="M20" i="40"/>
  <c r="L20" i="40"/>
  <c r="M19" i="40"/>
  <c r="L19" i="40"/>
  <c r="M18" i="40"/>
  <c r="L18" i="40"/>
  <c r="M17" i="40"/>
  <c r="M16" i="40"/>
  <c r="M15" i="40"/>
  <c r="M14" i="40"/>
  <c r="L14" i="40"/>
  <c r="M13" i="40"/>
  <c r="L13" i="40"/>
  <c r="M12" i="40"/>
  <c r="M11" i="40"/>
  <c r="L11" i="40"/>
  <c r="M10" i="40"/>
  <c r="M9" i="40"/>
  <c r="M8" i="40"/>
  <c r="F60" i="38" l="1"/>
  <c r="L58" i="15"/>
  <c r="N20" i="18" l="1"/>
  <c r="M20" i="18"/>
  <c r="L20" i="18"/>
  <c r="N19" i="18"/>
  <c r="M19" i="18"/>
  <c r="L19" i="18"/>
  <c r="N11" i="18"/>
  <c r="M11" i="18"/>
  <c r="L11" i="18"/>
  <c r="N10" i="18"/>
  <c r="M10" i="18"/>
  <c r="L10" i="18"/>
  <c r="N9" i="18"/>
  <c r="M9" i="18"/>
  <c r="L9" i="18"/>
  <c r="F7" i="18"/>
  <c r="K7" i="18"/>
  <c r="K23" i="18" l="1"/>
  <c r="F23" i="18"/>
  <c r="P58" i="39" l="1"/>
  <c r="O58" i="39"/>
  <c r="M58" i="39"/>
  <c r="L58" i="39"/>
  <c r="P55" i="39"/>
  <c r="O55" i="39"/>
  <c r="M55" i="39"/>
  <c r="L55" i="39"/>
  <c r="P54" i="39"/>
  <c r="O54" i="39"/>
  <c r="M54" i="39"/>
  <c r="L54" i="39"/>
  <c r="P53" i="39"/>
  <c r="O53" i="39"/>
  <c r="M53" i="39"/>
  <c r="L53" i="39"/>
  <c r="P52" i="39"/>
  <c r="O52" i="39"/>
  <c r="M52" i="39"/>
  <c r="L52" i="39"/>
  <c r="P51" i="39"/>
  <c r="O51" i="39"/>
  <c r="M51" i="39"/>
  <c r="L51" i="39"/>
  <c r="P50" i="39"/>
  <c r="O50" i="39"/>
  <c r="M50" i="39"/>
  <c r="L50" i="39"/>
  <c r="P49" i="39"/>
  <c r="O49" i="39"/>
  <c r="M49" i="39"/>
  <c r="L49" i="39"/>
  <c r="P48" i="39"/>
  <c r="O48" i="39"/>
  <c r="M48" i="39"/>
  <c r="L48" i="39"/>
  <c r="P47" i="39"/>
  <c r="O47" i="39"/>
  <c r="M47" i="39"/>
  <c r="L47" i="39"/>
  <c r="P46" i="39"/>
  <c r="O46" i="39"/>
  <c r="M46" i="39"/>
  <c r="L46" i="39"/>
  <c r="P45" i="39"/>
  <c r="O45" i="39"/>
  <c r="M45" i="39"/>
  <c r="L45" i="39"/>
  <c r="P44" i="39"/>
  <c r="O44" i="39"/>
  <c r="M44" i="39"/>
  <c r="L44" i="39"/>
  <c r="P42" i="39"/>
  <c r="O42" i="39"/>
  <c r="M42" i="39"/>
  <c r="L42" i="39"/>
  <c r="P41" i="39"/>
  <c r="O41" i="39"/>
  <c r="M41" i="39"/>
  <c r="L41" i="39"/>
  <c r="P40" i="39"/>
  <c r="O40" i="39"/>
  <c r="M40" i="39"/>
  <c r="L40" i="39"/>
  <c r="P39" i="39"/>
  <c r="O39" i="39"/>
  <c r="M39" i="39"/>
  <c r="L39" i="39"/>
  <c r="P38" i="39"/>
  <c r="O38" i="39"/>
  <c r="M38" i="39"/>
  <c r="L38" i="39"/>
  <c r="P37" i="39"/>
  <c r="O37" i="39"/>
  <c r="M37" i="39"/>
  <c r="L37" i="39"/>
  <c r="P36" i="39"/>
  <c r="O36" i="39"/>
  <c r="M36" i="39"/>
  <c r="L36" i="39"/>
  <c r="P35" i="39"/>
  <c r="O35" i="39"/>
  <c r="M35" i="39"/>
  <c r="L35" i="39"/>
  <c r="P34" i="39"/>
  <c r="O34" i="39"/>
  <c r="M34" i="39"/>
  <c r="L34" i="39"/>
  <c r="P33" i="39"/>
  <c r="O33" i="39"/>
  <c r="M33" i="39"/>
  <c r="L33" i="39"/>
  <c r="P32" i="39"/>
  <c r="O32" i="39"/>
  <c r="M32" i="39"/>
  <c r="L32" i="39"/>
  <c r="P31" i="39"/>
  <c r="O31" i="39"/>
  <c r="M31" i="39"/>
  <c r="L31" i="39"/>
  <c r="P30" i="39"/>
  <c r="O30" i="39"/>
  <c r="M30" i="39"/>
  <c r="L30" i="39"/>
  <c r="P29" i="39"/>
  <c r="O29" i="39"/>
  <c r="M29" i="39"/>
  <c r="L29" i="39"/>
  <c r="P28" i="39"/>
  <c r="O28" i="39"/>
  <c r="M28" i="39"/>
  <c r="L28" i="39"/>
  <c r="P27" i="39"/>
  <c r="O27" i="39"/>
  <c r="M27" i="39"/>
  <c r="L27" i="39"/>
  <c r="P26" i="39"/>
  <c r="O26" i="39"/>
  <c r="M26" i="39"/>
  <c r="L26" i="39"/>
  <c r="P25" i="39"/>
  <c r="O25" i="39"/>
  <c r="M25" i="39"/>
  <c r="L25" i="39"/>
  <c r="P24" i="39"/>
  <c r="O24" i="39"/>
  <c r="M24" i="39"/>
  <c r="L24" i="39"/>
  <c r="P23" i="39"/>
  <c r="O23" i="39"/>
  <c r="M23" i="39"/>
  <c r="L23" i="39"/>
  <c r="P22" i="39"/>
  <c r="O22" i="39"/>
  <c r="M22" i="39"/>
  <c r="L22" i="39"/>
  <c r="P21" i="39"/>
  <c r="O21" i="39"/>
  <c r="M21" i="39"/>
  <c r="L21" i="39"/>
  <c r="P20" i="39"/>
  <c r="O20" i="39"/>
  <c r="M20" i="39"/>
  <c r="L20" i="39"/>
  <c r="P19" i="39"/>
  <c r="O19" i="39"/>
  <c r="M19" i="39"/>
  <c r="L19" i="39"/>
  <c r="P18" i="39"/>
  <c r="O18" i="39"/>
  <c r="M18" i="39"/>
  <c r="L18" i="39"/>
  <c r="P17" i="39"/>
  <c r="O17" i="39"/>
  <c r="M17" i="39"/>
  <c r="L17" i="39"/>
  <c r="P16" i="39"/>
  <c r="O16" i="39"/>
  <c r="M16" i="39"/>
  <c r="L16" i="39"/>
  <c r="P15" i="39"/>
  <c r="O15" i="39"/>
  <c r="M15" i="39"/>
  <c r="L15" i="39"/>
  <c r="P14" i="39"/>
  <c r="O14" i="39"/>
  <c r="M14" i="39"/>
  <c r="L14" i="39"/>
  <c r="P13" i="39"/>
  <c r="O13" i="39"/>
  <c r="M13" i="39"/>
  <c r="L13" i="39"/>
  <c r="P12" i="39"/>
  <c r="O12" i="39"/>
  <c r="M12" i="39"/>
  <c r="L12" i="39"/>
  <c r="P11" i="39"/>
  <c r="O11" i="39"/>
  <c r="M11" i="39"/>
  <c r="L11" i="39"/>
  <c r="P10" i="39"/>
  <c r="O10" i="39"/>
  <c r="M10" i="39"/>
  <c r="L10" i="39"/>
  <c r="P9" i="39"/>
  <c r="O9" i="39"/>
  <c r="M9" i="39"/>
  <c r="L9" i="39"/>
  <c r="P8" i="39"/>
  <c r="O8" i="39"/>
  <c r="M8" i="39"/>
  <c r="L8" i="39"/>
  <c r="I60" i="38" l="1"/>
  <c r="K58" i="38"/>
  <c r="J58" i="38"/>
  <c r="K55" i="38"/>
  <c r="J55" i="38"/>
  <c r="K54" i="38"/>
  <c r="J54" i="38"/>
  <c r="K53" i="38"/>
  <c r="J53" i="38"/>
  <c r="K52" i="38"/>
  <c r="J52" i="38"/>
  <c r="K51" i="38"/>
  <c r="J51" i="38"/>
  <c r="K50" i="38"/>
  <c r="J50" i="38"/>
  <c r="K49" i="38"/>
  <c r="J49" i="38"/>
  <c r="K48" i="38"/>
  <c r="J48" i="38"/>
  <c r="K47" i="38"/>
  <c r="J47" i="38"/>
  <c r="K46" i="38"/>
  <c r="J46" i="38"/>
  <c r="K45" i="38"/>
  <c r="J45" i="38"/>
  <c r="K44" i="38"/>
  <c r="J44" i="38"/>
  <c r="K42" i="38"/>
  <c r="J42" i="38"/>
  <c r="K41" i="38"/>
  <c r="J41" i="38"/>
  <c r="K40" i="38"/>
  <c r="J40" i="38"/>
  <c r="K39" i="38"/>
  <c r="J39" i="38"/>
  <c r="K38" i="38"/>
  <c r="J38" i="38"/>
  <c r="K37" i="38"/>
  <c r="J37" i="38"/>
  <c r="K36" i="38"/>
  <c r="J36" i="38"/>
  <c r="K35" i="38"/>
  <c r="J35" i="38"/>
  <c r="K34" i="38"/>
  <c r="J34" i="38"/>
  <c r="K33" i="38"/>
  <c r="J33" i="38"/>
  <c r="K32" i="38"/>
  <c r="J32" i="38"/>
  <c r="K31" i="38"/>
  <c r="J31" i="38"/>
  <c r="K30" i="38"/>
  <c r="J30" i="38"/>
  <c r="K29" i="38"/>
  <c r="J29" i="38"/>
  <c r="K28" i="38"/>
  <c r="J28" i="38"/>
  <c r="K27" i="38"/>
  <c r="J27" i="38"/>
  <c r="K26" i="38"/>
  <c r="J26" i="38"/>
  <c r="K25" i="38"/>
  <c r="J25" i="38"/>
  <c r="K24" i="38"/>
  <c r="J24" i="38"/>
  <c r="K23" i="38"/>
  <c r="J23" i="38"/>
  <c r="K22" i="38"/>
  <c r="J22" i="38"/>
  <c r="K21" i="38"/>
  <c r="J21" i="38"/>
  <c r="K20" i="38"/>
  <c r="J20" i="38"/>
  <c r="K19" i="38"/>
  <c r="J19" i="38"/>
  <c r="K18" i="38"/>
  <c r="J18" i="38"/>
  <c r="K17" i="38"/>
  <c r="J17" i="38"/>
  <c r="K16" i="38"/>
  <c r="J16" i="38"/>
  <c r="K15" i="38"/>
  <c r="J15" i="38"/>
  <c r="K14" i="38"/>
  <c r="J14" i="38"/>
  <c r="K13" i="38"/>
  <c r="J13" i="38"/>
  <c r="K12" i="38"/>
  <c r="J12" i="38"/>
  <c r="K11" i="38"/>
  <c r="J11" i="38"/>
  <c r="K10" i="38"/>
  <c r="J10" i="38"/>
  <c r="K9" i="38"/>
  <c r="J9" i="38"/>
  <c r="K8" i="38"/>
  <c r="J8" i="38"/>
  <c r="M55" i="15" l="1"/>
  <c r="M54" i="15"/>
  <c r="M53" i="15"/>
  <c r="M52" i="15"/>
  <c r="M51" i="15"/>
  <c r="M50" i="15"/>
  <c r="M49" i="15"/>
  <c r="L49" i="15"/>
  <c r="M48" i="15"/>
  <c r="M47" i="15"/>
  <c r="M46" i="15"/>
  <c r="M45" i="15"/>
  <c r="M44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L30" i="15"/>
  <c r="M29" i="15"/>
  <c r="M28" i="15"/>
  <c r="M27" i="15"/>
  <c r="M26" i="15"/>
  <c r="M25" i="15"/>
  <c r="M24" i="15"/>
  <c r="M23" i="15"/>
  <c r="M22" i="15"/>
  <c r="M21" i="15"/>
  <c r="M20" i="15"/>
  <c r="M19" i="15"/>
  <c r="L19" i="15"/>
  <c r="M18" i="15"/>
  <c r="L18" i="15"/>
  <c r="M17" i="15"/>
  <c r="L17" i="15"/>
  <c r="M16" i="15"/>
  <c r="M15" i="15"/>
  <c r="M14" i="15"/>
  <c r="L14" i="15"/>
  <c r="M13" i="15"/>
  <c r="M12" i="15"/>
  <c r="M11" i="15"/>
  <c r="N10" i="15"/>
  <c r="M10" i="15"/>
  <c r="N9" i="15"/>
  <c r="M9" i="15"/>
  <c r="N8" i="15"/>
  <c r="M8" i="15"/>
  <c r="M58" i="15" l="1"/>
  <c r="N58" i="15"/>
  <c r="P58" i="37" l="1"/>
  <c r="P55" i="37"/>
  <c r="P54" i="37"/>
  <c r="P53" i="37"/>
  <c r="P52" i="37"/>
  <c r="P51" i="37"/>
  <c r="P50" i="37"/>
  <c r="P49" i="37"/>
  <c r="P48" i="37"/>
  <c r="P47" i="37"/>
  <c r="P46" i="37"/>
  <c r="P45" i="37"/>
  <c r="P44" i="37"/>
  <c r="P42" i="37"/>
  <c r="P41" i="37"/>
  <c r="P40" i="37"/>
  <c r="P39" i="37"/>
  <c r="P38" i="37"/>
  <c r="P37" i="37"/>
  <c r="P36" i="37"/>
  <c r="P35" i="37"/>
  <c r="P34" i="37"/>
  <c r="P33" i="37"/>
  <c r="P32" i="37"/>
  <c r="P31" i="37"/>
  <c r="P30" i="37"/>
  <c r="P29" i="37"/>
  <c r="P28" i="37"/>
  <c r="P27" i="37"/>
  <c r="P26" i="37"/>
  <c r="P25" i="37"/>
  <c r="P24" i="37"/>
  <c r="P23" i="37"/>
  <c r="P22" i="37"/>
  <c r="P21" i="37"/>
  <c r="P20" i="37"/>
  <c r="P19" i="37"/>
  <c r="P18" i="37"/>
  <c r="P17" i="37"/>
  <c r="P16" i="37"/>
  <c r="P15" i="37"/>
  <c r="P14" i="37"/>
  <c r="P13" i="37"/>
  <c r="P12" i="37"/>
  <c r="P11" i="37"/>
  <c r="P10" i="37"/>
  <c r="P9" i="37"/>
  <c r="P8" i="37"/>
  <c r="O58" i="37"/>
  <c r="O55" i="37"/>
  <c r="O54" i="37"/>
  <c r="O53" i="37"/>
  <c r="O52" i="37"/>
  <c r="O51" i="37"/>
  <c r="O50" i="37"/>
  <c r="O49" i="37"/>
  <c r="O48" i="37"/>
  <c r="O47" i="37"/>
  <c r="O46" i="37"/>
  <c r="O45" i="37"/>
  <c r="O44" i="37"/>
  <c r="O42" i="37"/>
  <c r="O41" i="37"/>
  <c r="O40" i="37"/>
  <c r="O39" i="37"/>
  <c r="O38" i="37"/>
  <c r="O37" i="37"/>
  <c r="O36" i="37"/>
  <c r="O35" i="37"/>
  <c r="O34" i="37"/>
  <c r="O33" i="37"/>
  <c r="O32" i="37"/>
  <c r="O31" i="37"/>
  <c r="O30" i="37"/>
  <c r="O29" i="37"/>
  <c r="O28" i="37"/>
  <c r="O27" i="37"/>
  <c r="O26" i="37"/>
  <c r="O25" i="37"/>
  <c r="O24" i="37"/>
  <c r="O23" i="37"/>
  <c r="O22" i="37"/>
  <c r="O21" i="37"/>
  <c r="O20" i="37"/>
  <c r="O19" i="37"/>
  <c r="O18" i="37"/>
  <c r="O17" i="37"/>
  <c r="O16" i="37"/>
  <c r="O15" i="37"/>
  <c r="O14" i="37"/>
  <c r="O13" i="37"/>
  <c r="O12" i="37"/>
  <c r="O11" i="37"/>
  <c r="O10" i="37"/>
  <c r="O9" i="37"/>
  <c r="O8" i="37"/>
  <c r="M58" i="37"/>
  <c r="M55" i="37"/>
  <c r="M54" i="37"/>
  <c r="M53" i="37"/>
  <c r="M52" i="37"/>
  <c r="M51" i="37"/>
  <c r="M50" i="37"/>
  <c r="M49" i="37"/>
  <c r="M48" i="37"/>
  <c r="M47" i="37"/>
  <c r="M46" i="37"/>
  <c r="M45" i="37"/>
  <c r="M44" i="37"/>
  <c r="M42" i="37"/>
  <c r="M41" i="37"/>
  <c r="M40" i="37"/>
  <c r="M39" i="37"/>
  <c r="M38" i="37"/>
  <c r="M37" i="37"/>
  <c r="M36" i="37"/>
  <c r="M35" i="37"/>
  <c r="M34" i="37"/>
  <c r="M33" i="37"/>
  <c r="M32" i="37"/>
  <c r="M31" i="37"/>
  <c r="M30" i="37"/>
  <c r="M29" i="37"/>
  <c r="M28" i="37"/>
  <c r="M27" i="37"/>
  <c r="M26" i="37"/>
  <c r="M25" i="37"/>
  <c r="M24" i="37"/>
  <c r="M23" i="37"/>
  <c r="M22" i="37"/>
  <c r="M21" i="37"/>
  <c r="M20" i="37"/>
  <c r="M19" i="37"/>
  <c r="M18" i="37"/>
  <c r="M17" i="37"/>
  <c r="M16" i="37"/>
  <c r="M15" i="37"/>
  <c r="M14" i="37"/>
  <c r="M13" i="37"/>
  <c r="M12" i="37"/>
  <c r="M11" i="37"/>
  <c r="M10" i="37"/>
  <c r="M9" i="37"/>
  <c r="M8" i="37"/>
  <c r="L58" i="37"/>
  <c r="L55" i="37"/>
  <c r="L54" i="37"/>
  <c r="L52" i="37"/>
  <c r="L51" i="37"/>
  <c r="L49" i="37"/>
  <c r="L48" i="37"/>
  <c r="L47" i="37"/>
  <c r="L45" i="37"/>
  <c r="L36" i="37"/>
  <c r="L35" i="37"/>
  <c r="L34" i="37"/>
  <c r="L33" i="37"/>
  <c r="L32" i="37"/>
  <c r="L31" i="37"/>
  <c r="L30" i="37"/>
  <c r="L29" i="37"/>
  <c r="L28" i="37"/>
  <c r="L27" i="37"/>
  <c r="L26" i="37"/>
  <c r="L25" i="37"/>
  <c r="L24" i="37"/>
  <c r="L23" i="37"/>
  <c r="L21" i="37"/>
  <c r="L20" i="37"/>
  <c r="L19" i="37"/>
  <c r="L18" i="37"/>
  <c r="L17" i="37"/>
  <c r="L16" i="37"/>
  <c r="L15" i="37"/>
  <c r="L14" i="37"/>
  <c r="L13" i="37"/>
  <c r="L12" i="37"/>
  <c r="L11" i="37"/>
  <c r="L10" i="37"/>
  <c r="L9" i="37"/>
  <c r="L8" i="37"/>
  <c r="K58" i="36" l="1"/>
  <c r="K55" i="36"/>
  <c r="K54" i="36"/>
  <c r="K53" i="36"/>
  <c r="K52" i="36"/>
  <c r="K51" i="36"/>
  <c r="K50" i="36"/>
  <c r="K49" i="36"/>
  <c r="K48" i="36"/>
  <c r="K47" i="36"/>
  <c r="K46" i="36"/>
  <c r="K45" i="36"/>
  <c r="K44" i="36"/>
  <c r="K42" i="36"/>
  <c r="K41" i="36"/>
  <c r="K40" i="36"/>
  <c r="K39" i="36"/>
  <c r="K38" i="36"/>
  <c r="K37" i="36"/>
  <c r="K36" i="36"/>
  <c r="K35" i="36"/>
  <c r="K34" i="36"/>
  <c r="K33" i="36"/>
  <c r="K32" i="36"/>
  <c r="K31" i="36"/>
  <c r="K30" i="36"/>
  <c r="K29" i="36"/>
  <c r="K28" i="36"/>
  <c r="K27" i="36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J45" i="36"/>
  <c r="J47" i="36"/>
  <c r="J48" i="36"/>
  <c r="J49" i="36"/>
  <c r="J50" i="36"/>
  <c r="J51" i="36"/>
  <c r="J52" i="36"/>
  <c r="J54" i="36"/>
  <c r="J55" i="36"/>
  <c r="J58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1" i="36"/>
  <c r="J20" i="36"/>
  <c r="J19" i="36"/>
  <c r="J18" i="36"/>
  <c r="J17" i="36"/>
  <c r="J16" i="36"/>
  <c r="J15" i="36"/>
  <c r="J14" i="36"/>
  <c r="J13" i="36"/>
  <c r="J12" i="36"/>
  <c r="J11" i="36"/>
  <c r="J10" i="36"/>
  <c r="J9" i="36"/>
  <c r="J8" i="36"/>
  <c r="F38" i="20" l="1"/>
  <c r="E38" i="20"/>
  <c r="F28" i="20"/>
  <c r="E28" i="20"/>
  <c r="F15" i="20"/>
  <c r="E15" i="20"/>
  <c r="F9" i="20"/>
  <c r="E9" i="20"/>
  <c r="E8" i="20" l="1"/>
  <c r="F8" i="20"/>
  <c r="E37" i="20"/>
  <c r="F37" i="20"/>
  <c r="F41" i="20" l="1"/>
  <c r="E41" i="20"/>
  <c r="E43" i="20" l="1"/>
  <c r="F43" i="20"/>
  <c r="H7" i="18" l="1"/>
  <c r="J7" i="18"/>
  <c r="E7" i="18"/>
  <c r="D7" i="18"/>
  <c r="E58" i="15"/>
  <c r="D58" i="15"/>
  <c r="D23" i="18" l="1"/>
  <c r="J23" i="18"/>
  <c r="N7" i="18"/>
  <c r="E23" i="18"/>
  <c r="H23" i="18"/>
  <c r="I7" i="18"/>
  <c r="N23" i="18" l="1"/>
  <c r="M7" i="18"/>
  <c r="L7" i="18"/>
  <c r="I23" i="18"/>
  <c r="M23" i="18" l="1"/>
  <c r="L23" i="18"/>
</calcChain>
</file>

<file path=xl/sharedStrings.xml><?xml version="1.0" encoding="utf-8"?>
<sst xmlns="http://schemas.openxmlformats.org/spreadsheetml/2006/main" count="1012" uniqueCount="393">
  <si>
    <t>Tabulka č. 1</t>
  </si>
  <si>
    <t>včetně prostředků z rozpočtu EU a FM</t>
  </si>
  <si>
    <t>v Kč</t>
  </si>
  <si>
    <t>č.kapitoly</t>
  </si>
  <si>
    <t>Kapitola</t>
  </si>
  <si>
    <t>skutečnost 2019</t>
  </si>
  <si>
    <t>Kancelář prezidenta republiky</t>
  </si>
  <si>
    <t>Poslanecká sněmovna Parlamentu</t>
  </si>
  <si>
    <t>Senát Parlamentu</t>
  </si>
  <si>
    <t>Úřad vlády České republiky</t>
  </si>
  <si>
    <t>Bezpečnostní informační služba</t>
  </si>
  <si>
    <t>Ministerstvo zahraničních věcí</t>
  </si>
  <si>
    <t>Ministerstvo obrany</t>
  </si>
  <si>
    <t>Národní bezpečnostní úřad</t>
  </si>
  <si>
    <t>Kancelář veřejného ochránce práv</t>
  </si>
  <si>
    <t>Ministerstvo financí</t>
  </si>
  <si>
    <t>Ministerstvo práce a sociálních věcí</t>
  </si>
  <si>
    <t>Ministerstvo vnitra</t>
  </si>
  <si>
    <t>Ministerstvo životního prostředí</t>
  </si>
  <si>
    <t>Ministerstvo pro místní rozvoj</t>
  </si>
  <si>
    <t>Grantová agentura České republiky</t>
  </si>
  <si>
    <t>Ministerstvo průmyslu a obchodu</t>
  </si>
  <si>
    <t>Ministerstvo dopravy</t>
  </si>
  <si>
    <t>Český telekomunikační úřad</t>
  </si>
  <si>
    <t>Ministerstvo zemědělství</t>
  </si>
  <si>
    <t>Ministerstvo školství, mládeže a tělovýchovy</t>
  </si>
  <si>
    <t>Ministerstvo kultury</t>
  </si>
  <si>
    <t>Ministerstvo zdravotnictví</t>
  </si>
  <si>
    <t>Ministerstvo spravedlnosti</t>
  </si>
  <si>
    <t>Úřad pro ochranu osobních údajů</t>
  </si>
  <si>
    <t>Úřad průmyslového vlastnictví</t>
  </si>
  <si>
    <t>Český statistický úřad</t>
  </si>
  <si>
    <t>Český úřad zeměměřický a katastrální</t>
  </si>
  <si>
    <t>Český báňský úřad</t>
  </si>
  <si>
    <t>Energetický regulační úřad</t>
  </si>
  <si>
    <t>Úřad pro ochranu hospodářské soutěže</t>
  </si>
  <si>
    <t>Ústav pro studium totalitních režimů</t>
  </si>
  <si>
    <t>Ústavní soud</t>
  </si>
  <si>
    <t>Úřad Národní rozpočtové rady</t>
  </si>
  <si>
    <t>Akademie věd České republiky</t>
  </si>
  <si>
    <t>Národní sportovní agentura</t>
  </si>
  <si>
    <t>Úřad pro dohled nad hospodařením politických stran a politických hnutí</t>
  </si>
  <si>
    <t>Rada pro rozhlasové a televizní vysílání</t>
  </si>
  <si>
    <t>Úřad pro přístup k dopravní infrastruktuře</t>
  </si>
  <si>
    <t>Správa státních hmotných rezerv</t>
  </si>
  <si>
    <t>Státní úřad pro jadernou bezpečnost</t>
  </si>
  <si>
    <t>Generální inspekce bezpečnostních sborů</t>
  </si>
  <si>
    <t>Technologická agentura České republiky</t>
  </si>
  <si>
    <t>Národní úřad pro kybernetickou a informační bezpečnost</t>
  </si>
  <si>
    <t>Nejvyšší kontrolní úřad</t>
  </si>
  <si>
    <t>Státní dluh</t>
  </si>
  <si>
    <t>Operace státních finančních aktiv</t>
  </si>
  <si>
    <t>Všeobecná pokladní správa</t>
  </si>
  <si>
    <t>Tabulka č. 2</t>
  </si>
  <si>
    <t>bez prostředků z rozpočtu EU a FM a bez SZIF</t>
  </si>
  <si>
    <t>Kč</t>
  </si>
  <si>
    <t>Tabulka č. 4</t>
  </si>
  <si>
    <t xml:space="preserve">Schodek státního rozpočtu </t>
  </si>
  <si>
    <t>Tabulka č. 5</t>
  </si>
  <si>
    <t>Schodek státního rozpočtu bez EU a FM a bez SZIF</t>
  </si>
  <si>
    <t>Tabulka č. 9</t>
  </si>
  <si>
    <t>Ukazatel v Kč</t>
  </si>
  <si>
    <t>kapitola</t>
  </si>
  <si>
    <t>index</t>
  </si>
  <si>
    <t>2024/2023</t>
  </si>
  <si>
    <t>I.</t>
  </si>
  <si>
    <t>Výdaje na sociální dávky</t>
  </si>
  <si>
    <t>I.1</t>
  </si>
  <si>
    <t>Dávky důchodového pojištění</t>
  </si>
  <si>
    <t>307-MO</t>
  </si>
  <si>
    <t>313-MPSV</t>
  </si>
  <si>
    <t>314-MV</t>
  </si>
  <si>
    <t>336-MSpr</t>
  </si>
  <si>
    <t>397-OSFA</t>
  </si>
  <si>
    <t>I.2</t>
  </si>
  <si>
    <t>Dávky nemocenského pojištění</t>
  </si>
  <si>
    <t>312-MF</t>
  </si>
  <si>
    <t>376-GIBS</t>
  </si>
  <si>
    <t>I.3</t>
  </si>
  <si>
    <t>neobsazený řádek</t>
  </si>
  <si>
    <t>I.4</t>
  </si>
  <si>
    <t>Dávky státní sociální podpory a pěstounská péče</t>
  </si>
  <si>
    <t>I.5</t>
  </si>
  <si>
    <t>Podpory v nezaměstnanosti</t>
  </si>
  <si>
    <t>I.6</t>
  </si>
  <si>
    <t>Dávky pomoci v hmotné nouzi</t>
  </si>
  <si>
    <t>I.7</t>
  </si>
  <si>
    <t>Dávky osobám se zdravotním postižením</t>
  </si>
  <si>
    <t>I.8</t>
  </si>
  <si>
    <t>Příspěvek na péči podle zákona o sociálních službách</t>
  </si>
  <si>
    <t>I.9</t>
  </si>
  <si>
    <t>Zvláštní sociální dávky příslušníků ozbrojených sil</t>
  </si>
  <si>
    <t>I.10</t>
  </si>
  <si>
    <t>Ostatní dávky povahy sociálního zabezpečení</t>
  </si>
  <si>
    <t>II</t>
  </si>
  <si>
    <t>Výdaje spojené s realizací zákona č. 118/2000 Sb.</t>
  </si>
  <si>
    <t>I. a II..</t>
  </si>
  <si>
    <t>Mandatorní peněžní transfery fyz. osobám celkem</t>
  </si>
  <si>
    <t>III.</t>
  </si>
  <si>
    <t>Sociální dotace a příspěvky zaměstnavatelům</t>
  </si>
  <si>
    <t>III.1</t>
  </si>
  <si>
    <t>III.2</t>
  </si>
  <si>
    <t>Příspěvky na sociální důsledky restrukturalizace</t>
  </si>
  <si>
    <t>322-MPO</t>
  </si>
  <si>
    <t>I. až III.</t>
  </si>
  <si>
    <t>Mandatorní sociální výdaje celkem</t>
  </si>
  <si>
    <t>IV.</t>
  </si>
  <si>
    <t>I. až IV.</t>
  </si>
  <si>
    <t>Sociální výdaje a služby zaměstnanosti celkem</t>
  </si>
  <si>
    <t>Pozn.</t>
  </si>
  <si>
    <t>*) nezahrnuje prostředky z EU a finančních mechanismů</t>
  </si>
  <si>
    <t>Tabulka č. 6</t>
  </si>
  <si>
    <t xml:space="preserve">  </t>
  </si>
  <si>
    <t>č. kapitoly</t>
  </si>
  <si>
    <t>Index 
2024/2023</t>
  </si>
  <si>
    <t>v tom:</t>
  </si>
  <si>
    <t xml:space="preserve">dvoustranná rozvojová spolupráce </t>
  </si>
  <si>
    <t>transformační spolupráce</t>
  </si>
  <si>
    <t xml:space="preserve">humanitární pomoc </t>
  </si>
  <si>
    <t xml:space="preserve">Celkem </t>
  </si>
  <si>
    <t>*) Tyto výdaje jsou součástí  celkových výdajů kapitol; údaje bez prostředků z rozpočtu EU</t>
  </si>
  <si>
    <t>Tabulka č. 3</t>
  </si>
  <si>
    <t>Z celkových příjmů kapitol připadá na :</t>
  </si>
  <si>
    <t>Tabulka č. 8</t>
  </si>
  <si>
    <t>(bez prostředků z rozpočtu EU a FM)</t>
  </si>
  <si>
    <t>Tabulka č. 10</t>
  </si>
  <si>
    <t>Návrh rozpočtu na rok 2024 bez prostředků EU/FM</t>
  </si>
  <si>
    <t>OSS</t>
  </si>
  <si>
    <t>a</t>
  </si>
  <si>
    <t>PO</t>
  </si>
  <si>
    <t>prostředky</t>
  </si>
  <si>
    <t xml:space="preserve">ostatní </t>
  </si>
  <si>
    <t xml:space="preserve">na platy </t>
  </si>
  <si>
    <t>platby za</t>
  </si>
  <si>
    <t xml:space="preserve">prostředky </t>
  </si>
  <si>
    <t xml:space="preserve">počet </t>
  </si>
  <si>
    <t>a ostatní platby</t>
  </si>
  <si>
    <t>prov.práci</t>
  </si>
  <si>
    <t>na platy</t>
  </si>
  <si>
    <t>míst</t>
  </si>
  <si>
    <t>(mzdové náklady)</t>
  </si>
  <si>
    <t>(OON)</t>
  </si>
  <si>
    <t>zaměstnanců</t>
  </si>
  <si>
    <t>301 KPR</t>
  </si>
  <si>
    <t>302 PSParl.</t>
  </si>
  <si>
    <t>303 Sparl</t>
  </si>
  <si>
    <t>304 ÚV</t>
  </si>
  <si>
    <t>306 MZV</t>
  </si>
  <si>
    <t>307 MO</t>
  </si>
  <si>
    <t>308 NBÚ</t>
  </si>
  <si>
    <t>309 KVOP</t>
  </si>
  <si>
    <t>312 MF</t>
  </si>
  <si>
    <t>313 MPSV</t>
  </si>
  <si>
    <t>314 MV</t>
  </si>
  <si>
    <t>315 MŽP</t>
  </si>
  <si>
    <t>317 MMR</t>
  </si>
  <si>
    <t>321 GA</t>
  </si>
  <si>
    <t>322 MPO</t>
  </si>
  <si>
    <t>327 MD</t>
  </si>
  <si>
    <t>328 ČTÚ</t>
  </si>
  <si>
    <t>329 MZe</t>
  </si>
  <si>
    <t>333 MŠMT</t>
  </si>
  <si>
    <t>334 MK</t>
  </si>
  <si>
    <t>335 MZdr</t>
  </si>
  <si>
    <t>336 MSpr</t>
  </si>
  <si>
    <t>343 ÚOOÚ</t>
  </si>
  <si>
    <t>344 ÚPV</t>
  </si>
  <si>
    <t>345 ČSÚ</t>
  </si>
  <si>
    <t>346 ČÚZK</t>
  </si>
  <si>
    <t>348 ČBÚ</t>
  </si>
  <si>
    <t>349 ERÚ</t>
  </si>
  <si>
    <t>353 ÚOHS</t>
  </si>
  <si>
    <t xml:space="preserve">355 ÚSTR </t>
  </si>
  <si>
    <t>358 ÚS</t>
  </si>
  <si>
    <t>359 ÚNRR</t>
  </si>
  <si>
    <t>361 AV</t>
  </si>
  <si>
    <t>362 NSA</t>
  </si>
  <si>
    <t>371 ÚPDHPS</t>
  </si>
  <si>
    <t>372 RRTV</t>
  </si>
  <si>
    <t>373 ÚPDI</t>
  </si>
  <si>
    <t>374 SSHR</t>
  </si>
  <si>
    <t>375 SÚJB</t>
  </si>
  <si>
    <t>376 GIBS</t>
  </si>
  <si>
    <t>377 TA ČR</t>
  </si>
  <si>
    <t>378 NÚKIB</t>
  </si>
  <si>
    <t>381 NKÚ</t>
  </si>
  <si>
    <t>Tabulka č. 16</t>
  </si>
  <si>
    <t>Státní fond 
dopravní
 infrastruktury</t>
  </si>
  <si>
    <t>Státní zemědělský
intervenční
fond</t>
  </si>
  <si>
    <t>Státní fond
kinematografie</t>
  </si>
  <si>
    <t>Státní fond 
kultury</t>
  </si>
  <si>
    <t>Státní fond
podpory investic</t>
  </si>
  <si>
    <t>Státní fond životního
 prostředí</t>
  </si>
  <si>
    <t>příjmy celkem</t>
  </si>
  <si>
    <t xml:space="preserve">              nedaňové a kapitálové příjmy</t>
  </si>
  <si>
    <t xml:space="preserve">              přijaté transfery</t>
  </si>
  <si>
    <t>výdaje celkem</t>
  </si>
  <si>
    <t>saldo příjmů a výdajů</t>
  </si>
  <si>
    <t>Příjmy a výdaje státních fondů na rok 2024</t>
  </si>
  <si>
    <t>Tabulka č. 13</t>
  </si>
  <si>
    <t>10601 - OP Životní prostředí - ERDF2014+</t>
  </si>
  <si>
    <t>304 - Úřad vlády České republiky</t>
  </si>
  <si>
    <t>10400 - OP Zaměstnanost 2014+</t>
  </si>
  <si>
    <t>CELKEM za kapitolu</t>
  </si>
  <si>
    <t>306 - Ministerstvo zahraničních věcí</t>
  </si>
  <si>
    <t>12005 - Jiné EU - zahraniční rozvojová spolupráce s EK 2014+</t>
  </si>
  <si>
    <t>307 - Ministerstvo obrany</t>
  </si>
  <si>
    <t>10602 - OP Životní prostředí - CF 2014+</t>
  </si>
  <si>
    <t>14300 - OP Jan Amos Komenský</t>
  </si>
  <si>
    <t>14900 - Integrovaný regionální operační program 2021+</t>
  </si>
  <si>
    <t>312 - Ministerstvo financí</t>
  </si>
  <si>
    <t>313 - Ministerstvo práce a sociálních věcí</t>
  </si>
  <si>
    <t>14800 - OP Životní prostředí - CF 2021+</t>
  </si>
  <si>
    <t>314 - Ministerstvo vnitra</t>
  </si>
  <si>
    <t>04604 - Jiné programy/projekty EU - Evropská migrační síť</t>
  </si>
  <si>
    <t>10701 - Integrovaný regionální operační program REACT-EU 2014+</t>
  </si>
  <si>
    <t>11001 - Program přeshraniční spolupráce INTERREG V-A ČR - Pl 2014+</t>
  </si>
  <si>
    <t>11004 - Program přeshraniční spolupráce INTERREG V-A ČR - Bv 2014+</t>
  </si>
  <si>
    <t>12000 - Jiné EU 2014+</t>
  </si>
  <si>
    <t>12104 - KP Horizont 2020 2014+</t>
  </si>
  <si>
    <t>15102 - Program přeshraniční spolupráce INTERREG VI-A ČR-Pl 2021+</t>
  </si>
  <si>
    <t>315 - Ministerstvo životního prostředí</t>
  </si>
  <si>
    <t>04703 - KP Life+</t>
  </si>
  <si>
    <t>11002 - Program přeshraniční spolupráce INTERREG V-A ČR - Sl 2014+</t>
  </si>
  <si>
    <t>11003 - Program přeshraniční spolupráce INTERREG V-A ČR - Rk 2014+</t>
  </si>
  <si>
    <t>11005 - Program přeshraniční spolupráce INTERREG V-A ČR - Ss 2014+</t>
  </si>
  <si>
    <t>11101 - OP nadnárodní spolupráce Central Europe 2014+</t>
  </si>
  <si>
    <t>14000 - OP Spravedlivá transformace</t>
  </si>
  <si>
    <t>14700 - OP Životní prostředí - ERDF 2021+</t>
  </si>
  <si>
    <t>317 - Ministerstvo pro místní rozvoj</t>
  </si>
  <si>
    <t>11000 - Programy přeshraniční spolupráce INTERREG V-A - Technická pomoc 2014+</t>
  </si>
  <si>
    <t>15202 - Program nadnárodní spolupráce Central Europe 2021+</t>
  </si>
  <si>
    <t>15203 - Program nadnárodní spolupráce Danube 2021+</t>
  </si>
  <si>
    <t>15300 - Programy meziregionální spolupráce 2021+</t>
  </si>
  <si>
    <t>322 - Ministerstvo průmyslu a obchodu</t>
  </si>
  <si>
    <t>327 - Ministerstvo dopravy</t>
  </si>
  <si>
    <t>12101 - KP - Nástroj pro propojení Evropy 2014+</t>
  </si>
  <si>
    <t>14500 - OP Doprava - ERDF 2021+</t>
  </si>
  <si>
    <t>14600 - OP Doprava - CF 2021+</t>
  </si>
  <si>
    <t>16900 - Nástroj pro propojení Evropy (CEF) 2021+</t>
  </si>
  <si>
    <t>329 - Ministerstvo zemědělství</t>
  </si>
  <si>
    <t>13000 - Program rozvoje venkova 2014+</t>
  </si>
  <si>
    <t>333 - Ministerstvo školství, mládeže a tělovýchovy</t>
  </si>
  <si>
    <t>336 - Ministerstvo spravedlnosti</t>
  </si>
  <si>
    <t>344 - Úřad průmyslového vlastnictví</t>
  </si>
  <si>
    <t>345 - Český statistický úřad</t>
  </si>
  <si>
    <t>12106 - KP Statistický program ES 2014+</t>
  </si>
  <si>
    <t>16802 - Program pro jednotný trh - Statistický program ES 2021+</t>
  </si>
  <si>
    <t>377 - Technologická agentura České republiky</t>
  </si>
  <si>
    <t>CELKEM</t>
  </si>
  <si>
    <t>Tabulka č. 14</t>
  </si>
  <si>
    <t>06004 - EHP/Norsko 3</t>
  </si>
  <si>
    <t>334 - Ministerstvo kultury</t>
  </si>
  <si>
    <t>Tabulka č. 15</t>
  </si>
  <si>
    <t>14200 - OP Technologie a aplikace pro konkurenceschopnost</t>
  </si>
  <si>
    <t>Tabulková část</t>
  </si>
  <si>
    <t>Tabulka č. 11</t>
  </si>
  <si>
    <t>Tabulka č. 12</t>
  </si>
  <si>
    <t>Tabulka č. 7</t>
  </si>
  <si>
    <t>skutečnost 2020</t>
  </si>
  <si>
    <t>skutečnost 2021</t>
  </si>
  <si>
    <t>rozdíl 
2024-2023</t>
  </si>
  <si>
    <t>rozdíl 
2025-2024</t>
  </si>
  <si>
    <t xml:space="preserve">skutečnost 2020 </t>
  </si>
  <si>
    <t xml:space="preserve">skutečnost 2021 </t>
  </si>
  <si>
    <t>Index 
2025/2024</t>
  </si>
  <si>
    <t>Návrh rozpočtu na rok 2025 bez prostředků EU/FM</t>
  </si>
  <si>
    <t>v tom:   daňové příjmy</t>
  </si>
  <si>
    <t xml:space="preserve">                       z toho: výnos z mýtného</t>
  </si>
  <si>
    <t xml:space="preserve">                       v tom:  splátky půjček</t>
  </si>
  <si>
    <t xml:space="preserve">                                      ostatní</t>
  </si>
  <si>
    <t xml:space="preserve">                                      transfer z kapitoly v rámci nároků z nespotřebovaných výdajů z min. let</t>
  </si>
  <si>
    <t xml:space="preserve">                                      převody z Národního fondu</t>
  </si>
  <si>
    <t xml:space="preserve">                                      transfer z Modernizačního fondu </t>
  </si>
  <si>
    <t xml:space="preserve">                                      ostatní transfery</t>
  </si>
  <si>
    <t>z toho: poskytnuté půjčky</t>
  </si>
  <si>
    <t>Příjmy a výdaje státních fondů na rok 2025</t>
  </si>
  <si>
    <t>17011 - NPO Digitální služby občanům a firmám</t>
  </si>
  <si>
    <t>17012 - NPO Digitální systémy státní správy</t>
  </si>
  <si>
    <t>17024 - NPO Rozvoj čisté mobility</t>
  </si>
  <si>
    <t>17027 - NPO Cirkulární ekonomika a recyklace a prům. voda</t>
  </si>
  <si>
    <t>17014 - NPO Dig. ekon. a spol., inov. start. a nov. techn.</t>
  </si>
  <si>
    <t>17028 - NPO Revitalizace území se starou stavební zátěží</t>
  </si>
  <si>
    <t>17013 - NPO Digitální vysokorychlostní sítě</t>
  </si>
  <si>
    <t>17015 - NPO Digitální transformace podniků</t>
  </si>
  <si>
    <t>17022 - NPO Snižování spotřeby energie</t>
  </si>
  <si>
    <t>17023 - NPO Přechod na čistší zdroje energie</t>
  </si>
  <si>
    <t>17021 - NPO Udržitelná a bezpečná doprava</t>
  </si>
  <si>
    <t>17031 - NPO Inovace ve vzdělávání v kontextu digitalizace</t>
  </si>
  <si>
    <t>17032 - NPO Adaptace kapacity a zaměření školních program.</t>
  </si>
  <si>
    <t>17051 - NPO Excel. výzkum a výv. v prir. obl. veř. záj. ve zdrav.</t>
  </si>
  <si>
    <t>17052 - NPO Podpora výzku. a výv. v podn. a zavád. inovací. do podn. praxe</t>
  </si>
  <si>
    <t>19500 - Jiné EU 2021+</t>
  </si>
  <si>
    <t>15600 - OP Nástroje pro finanční podporu správy hranic a víz (OP BMVI)</t>
  </si>
  <si>
    <t>14400 - OP Zaměstnanost plus 2021+</t>
  </si>
  <si>
    <t>19100 - Nástroj pro finanční podporu vybavení pro celní kontroly</t>
  </si>
  <si>
    <t>15400 - OP Azylového, migračního a integračního fondu (OP AMIF)</t>
  </si>
  <si>
    <t>15500 - OP Fondu pro vnitřní bezpečnost (OP ISF)</t>
  </si>
  <si>
    <t>15001 - OP Technická pomoc - MMR 2021+</t>
  </si>
  <si>
    <t>16600 - Horizont Evropa</t>
  </si>
  <si>
    <t>12900 - Program rozvoje venkova 2014+ EURI</t>
  </si>
  <si>
    <t>14100 - OP Rybářství 2021+</t>
  </si>
  <si>
    <t>335 - Ministerstvo zdravotnictví</t>
  </si>
  <si>
    <t>víceletý finanční rámec 2014-2020</t>
  </si>
  <si>
    <t>víceletý finanční rámec 2021-2027</t>
  </si>
  <si>
    <t>Název nástroje včetně analytiky</t>
  </si>
  <si>
    <t>2025/2024</t>
  </si>
  <si>
    <t>I.11</t>
  </si>
  <si>
    <t>Náhradní výživné pro nezaopatřené dítě</t>
  </si>
  <si>
    <t>Celkem</t>
  </si>
  <si>
    <t>Ukazatel</t>
  </si>
  <si>
    <t>Podíl státního rozpočtu</t>
  </si>
  <si>
    <t xml:space="preserve">Podíl státního rozpočtu </t>
  </si>
  <si>
    <t xml:space="preserve"> Výdaje kryté příjmy z rozpočtu EU/FM</t>
  </si>
  <si>
    <t xml:space="preserve"> Podíl státního rozpočtu </t>
  </si>
  <si>
    <r>
      <t>Aktivní politika zaměstnanosti (služby) *</t>
    </r>
    <r>
      <rPr>
        <vertAlign val="superscript"/>
        <sz val="10"/>
        <rFont val="Calibri"/>
        <family val="2"/>
        <charset val="238"/>
        <scheme val="minor"/>
      </rPr>
      <t>)</t>
    </r>
  </si>
  <si>
    <t>Celkové příjmy státního rozpočtu  podle kapitol na rok 2024 (včetně prostředků z rozpočtu EU a FM)</t>
  </si>
  <si>
    <t>Celkové příjmy státního rozpočtu  podle kapitol na léta 2024 až 2026 (bez prostředků z rozpočtu EU a FM a bez SZIF)</t>
  </si>
  <si>
    <t>Pojistné na sociální zabezpečení a příspěvek na státní politiku zaměstnanosti  podle kapitol na léta 2024 až 2026</t>
  </si>
  <si>
    <t>Celkové výdaje státního rozpočtu podle kapitol na rok 2024 (včetně prostředků z rozpočtu EU a FM)</t>
  </si>
  <si>
    <t xml:space="preserve">Celkové výdaje státního rozpočtu podle kapitol na léta 2024 až 2026 (bez prostředků z rozpočtu EU a  FM a bez SZIF) </t>
  </si>
  <si>
    <t>Výdaje na zahraniční rozvojovou spolupráci a humanitární pomoc na léta 2024 až 2026</t>
  </si>
  <si>
    <t xml:space="preserve"> Objem prostředků na platy zaměstnanců (mzdové náklady) a ostatní platby
 za provedenou práci (ostatní osobní náklady) a počty zaměstnanců na léta 2024 až 2026</t>
  </si>
  <si>
    <t>Výdaje státního rozpočtu na výzkum, vývoj a inovace  podle kapitol na léta 2024 až 2026
(bez prostředků z rozpočtu EU a FM)</t>
  </si>
  <si>
    <t>Sociální dávky a politika zaměstnanosti  podle kapitol na léta 2024 až 2026</t>
  </si>
  <si>
    <t>Výdaje, které jsou nebo mají být kryty z rozpočtu Evropské unie včetně stanoveného podílu státního rozpočtu na financování těchto výdajů na rok 2024</t>
  </si>
  <si>
    <t>Výdaje podle mezinárodních smluv, na základě kterých jsou České republice svěřeny peněžní prostředky z finančních mechanismů včetně stanoveného podílu státního rozpočtu na financování těchto výdajů na rok 2024</t>
  </si>
  <si>
    <t>Výzkum vývoj a inovace - výdaje, které jsou nebo mají být kryty z rozpočtu Evropské unie a finančních mechanismů včetně stanoveného podílu státního rozpočtu na financování těchto výdajů na rok 2024</t>
  </si>
  <si>
    <t>Výdaje, které jsou nebo mají být kryty z rozpočtu Evropské unie včetně stanoveného podílu státního rozpočtu na Národní plán obnovy v roce 2024 v Kč</t>
  </si>
  <si>
    <t>Příjmy a výdaje státních fondů na rok 2026</t>
  </si>
  <si>
    <t>skutečnost 2022</t>
  </si>
  <si>
    <t>rozdíl
 2024 - skuteč.2022</t>
  </si>
  <si>
    <t>rozdíl 
 2024 - skuteč.2022</t>
  </si>
  <si>
    <t>rozdíl 
2026-2025</t>
  </si>
  <si>
    <t xml:space="preserve">skutečnost 2022 </t>
  </si>
  <si>
    <t>rozdíl 
 2024 - skuteč. 2022</t>
  </si>
  <si>
    <t>Index 
2026/2025</t>
  </si>
  <si>
    <t>2026/2025</t>
  </si>
  <si>
    <t>CELKOVÉ PŘÍJMY STÁTNÍHO ROZPOČTU PODLE KAPITOL NA ROK 2024</t>
  </si>
  <si>
    <t>CELKOVÉ PŘÍJMY STÁTNÍHO ROZPOČTU  PODLE KAPITOL  NA LÉTA 2024 až 2026</t>
  </si>
  <si>
    <t>POJISTNÉ NA SOCIÁLNÍ ZABEZPEČENÍ A PŘÍSPĚVEK NA STÁTNÍ POLITIKU ZAMĚSTNANOSTI PODLE KAPITOL NA LÉTA 2024 až 2026</t>
  </si>
  <si>
    <t>CELKOVÉ VÝDAJE STÁTNÍHO ROZPOČTU  PODLE KAPITOL NA ROK 2024</t>
  </si>
  <si>
    <t>CELKOVÉ VÝDAJE STÁTNÍHO ROZPOČTU PODLE KAPITOL  NA LÉTA 2024 až 2026</t>
  </si>
  <si>
    <t>VÝDAJE NA ZAHRANIČNÍ ROZVOJOVOU SPOLUPRÁCI A HUMANITÁRNÍ POMOC NA LÉTA 2024 AŽ 2026 *)</t>
  </si>
  <si>
    <t xml:space="preserve">  Objem prostředků na platy zaměstnanců (mzdové náklady) a ostatní platby za provedenou práci (ostatní osobní náklady) a počty míst na roky 2024 až 2026</t>
  </si>
  <si>
    <t xml:space="preserve"> VÝDAJE NA VÝZKUM,  VÝVOJ A INOVACE NA LÉTA 2024 až 2026 PODLE KAPITOL  </t>
  </si>
  <si>
    <t>Sociální dávky a politika zaměstnanosti podle kapitol na léta 2024 až 2026</t>
  </si>
  <si>
    <t>Podpora zaměstnávání zdravotně postižených osob</t>
  </si>
  <si>
    <t>19502 - EMCDDA 21+</t>
  </si>
  <si>
    <t>19000 - Nástroj pro finanční podporu správy hranic a víz (BMVI)</t>
  </si>
  <si>
    <t>12107 - KP Customs 2020</t>
  </si>
  <si>
    <t>15002 - OP Technická pomoc Auditní orgán 2021+</t>
  </si>
  <si>
    <t>15003 - OP Technická pomoc Platební orgán 2021+</t>
  </si>
  <si>
    <t>15004 - OP Technická pomoc CKB AFCOS 2021+</t>
  </si>
  <si>
    <t>15005 - OP Technická pomoc - Ostatní 2021+</t>
  </si>
  <si>
    <t>18100 - Program Spravedlnost (Justice)</t>
  </si>
  <si>
    <t>18200 - Mechanismus civilní ochrany EU</t>
  </si>
  <si>
    <t>17025 - NPO Renovace budov a ochrana ovzduší</t>
  </si>
  <si>
    <t>10901 - OP Technická pomoc - přezávazkování</t>
  </si>
  <si>
    <t>15101 - Programy přeshraniční spolupráce INTERREG VI-A TP 2021+</t>
  </si>
  <si>
    <t>16803 - Program pro jednotný trh – Cosme</t>
  </si>
  <si>
    <t>17042 - NPO Nové kvaz. nást. na pod. podn., roz. ČMZRB</t>
  </si>
  <si>
    <t>17200 - Kosmický program Unie</t>
  </si>
  <si>
    <t>16000 - Strategický plán SZP – Rozvoj venkova 2023+</t>
  </si>
  <si>
    <t>16100 - Strategický plán SZP – Přímé platby 2023+</t>
  </si>
  <si>
    <t>16201 - Strategický plán SZP – SOT mimo včely 2023+</t>
  </si>
  <si>
    <t>16202 - Strategický plán SZP – SOT včely 2023+</t>
  </si>
  <si>
    <t>17026 - NPO Ochrana přírody a adaptace na klimatic. změnu</t>
  </si>
  <si>
    <t>17045 - NPO Rozvoj kulturního a kreativního sektoru</t>
  </si>
  <si>
    <t>17061 - NPO Zvýšení odol. systému zdravotní péče</t>
  </si>
  <si>
    <t>17062 - NPO Národní plán na posíl. onkologic. prevenc. a péče</t>
  </si>
  <si>
    <t>18100 - Program spravedlnost (Justice)</t>
  </si>
  <si>
    <t>19503 - Jiné EU- EUIPO 2021+</t>
  </si>
  <si>
    <t>361 - Akademie věd České republiky</t>
  </si>
  <si>
    <t>politika soudržnosti</t>
  </si>
  <si>
    <t>společná zemědělská politika</t>
  </si>
  <si>
    <t>jiné EU</t>
  </si>
  <si>
    <t xml:space="preserve"> z toho:  Nástroj pro propojení Evropy (CEF)</t>
  </si>
  <si>
    <t>Strategický plán společné zemědělské politiky 23+</t>
  </si>
  <si>
    <t>oblast vnitřních věcí</t>
  </si>
  <si>
    <t xml:space="preserve"> z toho: Nástroj pro propojení Evropy  (CEF)</t>
  </si>
  <si>
    <t xml:space="preserve"> z toho: Národní plán obnovy</t>
  </si>
  <si>
    <t>06005 - Program švýcarsko-české spolupráce 2</t>
  </si>
  <si>
    <t xml:space="preserve">Výdaje, které jsou nebo mají být kryty z rozpočtu Evropské unie včetně stanoveného podílu státního rozpočtu na Národní plán obnovy v roce 2024 </t>
  </si>
  <si>
    <t>Výdaje kryté příjmem 
z rozpočtu EU</t>
  </si>
  <si>
    <t>Digitální agentura</t>
  </si>
  <si>
    <t>364 DIA</t>
  </si>
  <si>
    <t xml:space="preserve"> CELKEM</t>
  </si>
  <si>
    <t>Návrh rozpočtu na rok 2026 bez prostředků EU/FM</t>
  </si>
  <si>
    <t>Výzkum vývoj a inovace  - výdaje, které jsou nebo mají být kryty z rozpočtu Evropské unie a finančních mechanismů včetně stanoveného podílu státního rozpočtu na financování těchto výdajů na rok 2024</t>
  </si>
  <si>
    <t>Výdaje kryté příjmy 
z rozpočtu FM</t>
  </si>
  <si>
    <t>Výdaje podle mezinárodních smluv, na základě kterých jsou České republice svěřeny peněžní prostředky z finančních mechanismů včetně stanoveného podílu státního rozpočtu 
na financování těchto výdajů na rok 2024</t>
  </si>
  <si>
    <t xml:space="preserve">                       v tom:  transfer z kapitoly v rámci státního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</si>
</sst>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_-* #,##0.00\ _K_č_-;\-* #,##0.00\ _K_č_-;_-* &quot;-&quot;??\ _K_č_-;_-@_-"/>
    <numFmt numFmtId="167" formatCode="###\ ###\ ###\ ###\ ##0;[Red]\-###\ ###\ ###\ ###\ ##0"/>
    <numFmt numFmtId="168" formatCode="#,##0_ ;[Red]\-#,##0\ "/>
  </numFmts>
  <fonts count="41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8"/>
      <name val="Arial CE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</font>
    <font>
      <sz val="1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2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AAAAAA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AAAAAA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AAAAAA"/>
      </bottom>
      <diagonal/>
    </border>
    <border>
      <left/>
      <right style="thin">
        <color rgb="FF000000"/>
      </right>
      <top style="thin">
        <color rgb="FFAAAAAA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AAAAA"/>
      </bottom>
      <diagonal/>
    </border>
    <border>
      <left style="thin">
        <color rgb="FF000000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rgb="FF000000"/>
      </left>
      <right style="thin">
        <color rgb="FF000000"/>
      </right>
      <top style="dotted">
        <color auto="1"/>
      </top>
      <bottom style="dotted">
        <color auto="1"/>
      </bottom>
      <diagonal/>
    </border>
    <border>
      <left style="thin">
        <color rgb="FF000000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rgb="FF000000"/>
      </left>
      <right style="thin">
        <color rgb="FF000000"/>
      </right>
      <top style="dotted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AAAAAA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rgb="FFAAAAAA"/>
      </bottom>
      <diagonal/>
    </border>
    <border>
      <left style="thin">
        <color auto="1"/>
      </left>
      <right style="thin">
        <color auto="1"/>
      </right>
      <top style="thin">
        <color rgb="FFAAAAAA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auto="1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AAAAAA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0" fontId="8" fillId="0" borderId="0"/>
    <xf numFmtId="166" fontId="8" fillId="0" borderId="0" applyFont="0" applyFill="0" applyBorder="0" applyAlignment="0" applyProtection="0"/>
    <xf numFmtId="0" fontId="12" fillId="0" borderId="0"/>
    <xf numFmtId="0" fontId="13" fillId="0" borderId="0"/>
    <xf numFmtId="0" fontId="12" fillId="0" borderId="0"/>
    <xf numFmtId="0" fontId="9" fillId="0" borderId="0"/>
    <xf numFmtId="0" fontId="16" fillId="0" borderId="0"/>
    <xf numFmtId="0" fontId="7" fillId="0" borderId="0"/>
    <xf numFmtId="0" fontId="6" fillId="0" borderId="0"/>
    <xf numFmtId="0" fontId="18" fillId="0" borderId="0"/>
    <xf numFmtId="0" fontId="5" fillId="0" borderId="0"/>
    <xf numFmtId="0" fontId="5" fillId="0" borderId="0"/>
    <xf numFmtId="0" fontId="4" fillId="0" borderId="0"/>
    <xf numFmtId="166" fontId="4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512">
    <xf numFmtId="0" fontId="0" fillId="0" borderId="0" xfId="0"/>
    <xf numFmtId="0" fontId="15" fillId="0" borderId="0" xfId="10" applyFont="1" applyFill="1"/>
    <xf numFmtId="3" fontId="15" fillId="0" borderId="0" xfId="10" applyNumberFormat="1" applyFont="1" applyFill="1"/>
    <xf numFmtId="164" fontId="15" fillId="0" borderId="0" xfId="10" applyNumberFormat="1" applyFont="1" applyFill="1"/>
    <xf numFmtId="0" fontId="14" fillId="0" borderId="0" xfId="10" applyFont="1" applyFill="1" applyAlignment="1">
      <alignment horizontal="center"/>
    </xf>
    <xf numFmtId="0" fontId="17" fillId="0" borderId="0" xfId="15" applyFont="1"/>
    <xf numFmtId="0" fontId="17" fillId="0" borderId="0" xfId="15" applyFont="1" applyFill="1"/>
    <xf numFmtId="0" fontId="3" fillId="0" borderId="0" xfId="16" applyFont="1"/>
    <xf numFmtId="0" fontId="3" fillId="0" borderId="0" xfId="16" applyFont="1" applyFill="1"/>
    <xf numFmtId="0" fontId="21" fillId="0" borderId="0" xfId="0" applyFont="1" applyFill="1" applyAlignment="1"/>
    <xf numFmtId="0" fontId="15" fillId="0" borderId="0" xfId="0" applyFont="1"/>
    <xf numFmtId="0" fontId="14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15" fillId="0" borderId="0" xfId="0" applyFont="1" applyFill="1"/>
    <xf numFmtId="0" fontId="22" fillId="0" borderId="0" xfId="0" applyFont="1" applyFill="1" applyAlignment="1">
      <alignment horizontal="left" vertical="center" wrapText="1" indent="1"/>
    </xf>
    <xf numFmtId="0" fontId="22" fillId="0" borderId="0" xfId="0" applyFont="1" applyFill="1" applyAlignment="1">
      <alignment horizontal="left" vertical="center" indent="1"/>
    </xf>
    <xf numFmtId="0" fontId="14" fillId="0" borderId="0" xfId="0" applyFont="1" applyAlignment="1">
      <alignment vertical="center"/>
    </xf>
    <xf numFmtId="0" fontId="22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 wrapText="1" indent="1"/>
    </xf>
    <xf numFmtId="0" fontId="23" fillId="0" borderId="0" xfId="0" applyFont="1" applyAlignment="1">
      <alignment horizontal="left" vertical="center" wrapText="1" indent="1"/>
    </xf>
    <xf numFmtId="0" fontId="14" fillId="0" borderId="0" xfId="0" applyFont="1"/>
    <xf numFmtId="0" fontId="22" fillId="0" borderId="0" xfId="0" applyFont="1" applyAlignment="1">
      <alignment horizontal="left" indent="1"/>
    </xf>
    <xf numFmtId="0" fontId="22" fillId="0" borderId="0" xfId="0" applyFont="1" applyAlignment="1">
      <alignment horizontal="left" wrapText="1" indent="1"/>
    </xf>
    <xf numFmtId="0" fontId="22" fillId="0" borderId="0" xfId="0" applyFont="1"/>
    <xf numFmtId="0" fontId="24" fillId="0" borderId="0" xfId="10" applyFont="1" applyFill="1" applyAlignment="1">
      <alignment horizontal="right"/>
    </xf>
    <xf numFmtId="0" fontId="25" fillId="0" borderId="0" xfId="10" applyFont="1" applyFill="1"/>
    <xf numFmtId="0" fontId="17" fillId="0" borderId="0" xfId="10" applyFont="1" applyFill="1" applyAlignment="1">
      <alignment horizontal="right"/>
    </xf>
    <xf numFmtId="0" fontId="19" fillId="0" borderId="30" xfId="11" applyFont="1" applyFill="1" applyBorder="1" applyAlignment="1">
      <alignment horizontal="center" vertical="center" wrapText="1"/>
    </xf>
    <xf numFmtId="0" fontId="19" fillId="0" borderId="10" xfId="10" applyFont="1" applyFill="1" applyBorder="1" applyAlignment="1">
      <alignment horizontal="center" vertical="center" wrapText="1"/>
    </xf>
    <xf numFmtId="0" fontId="19" fillId="0" borderId="95" xfId="10" applyFont="1" applyFill="1" applyBorder="1" applyAlignment="1">
      <alignment horizontal="center" vertical="center" wrapText="1"/>
    </xf>
    <xf numFmtId="0" fontId="19" fillId="0" borderId="96" xfId="10" applyFont="1" applyFill="1" applyBorder="1" applyAlignment="1">
      <alignment horizontal="center" vertical="center" wrapText="1"/>
    </xf>
    <xf numFmtId="0" fontId="19" fillId="0" borderId="97" xfId="10" applyFont="1" applyFill="1" applyBorder="1" applyAlignment="1">
      <alignment horizontal="center" vertical="center" wrapText="1"/>
    </xf>
    <xf numFmtId="0" fontId="26" fillId="0" borderId="98" xfId="10" applyFont="1" applyFill="1" applyBorder="1" applyAlignment="1">
      <alignment vertical="center"/>
    </xf>
    <xf numFmtId="3" fontId="26" fillId="0" borderId="99" xfId="10" applyNumberFormat="1" applyFont="1" applyFill="1" applyBorder="1" applyAlignment="1">
      <alignment vertical="center"/>
    </xf>
    <xf numFmtId="3" fontId="26" fillId="0" borderId="100" xfId="10" applyNumberFormat="1" applyFont="1" applyFill="1" applyBorder="1" applyAlignment="1">
      <alignment vertical="center"/>
    </xf>
    <xf numFmtId="3" fontId="26" fillId="0" borderId="71" xfId="10" applyNumberFormat="1" applyFont="1" applyFill="1" applyBorder="1" applyAlignment="1">
      <alignment vertical="center"/>
    </xf>
    <xf numFmtId="3" fontId="26" fillId="0" borderId="73" xfId="10" applyNumberFormat="1" applyFont="1" applyFill="1" applyBorder="1" applyAlignment="1">
      <alignment vertical="center"/>
    </xf>
    <xf numFmtId="0" fontId="27" fillId="0" borderId="101" xfId="10" applyFont="1" applyFill="1" applyBorder="1" applyAlignment="1">
      <alignment vertical="center"/>
    </xf>
    <xf numFmtId="3" fontId="19" fillId="0" borderId="102" xfId="10" applyNumberFormat="1" applyFont="1" applyFill="1" applyBorder="1" applyAlignment="1">
      <alignment vertical="center"/>
    </xf>
    <xf numFmtId="3" fontId="17" fillId="0" borderId="103" xfId="10" applyNumberFormat="1" applyFont="1" applyFill="1" applyBorder="1" applyAlignment="1">
      <alignment vertical="center"/>
    </xf>
    <xf numFmtId="3" fontId="17" fillId="0" borderId="72" xfId="10" applyNumberFormat="1" applyFont="1" applyFill="1" applyBorder="1" applyAlignment="1">
      <alignment vertical="center"/>
    </xf>
    <xf numFmtId="3" fontId="17" fillId="0" borderId="74" xfId="10" applyNumberFormat="1" applyFont="1" applyFill="1" applyBorder="1" applyAlignment="1">
      <alignment vertical="center"/>
    </xf>
    <xf numFmtId="0" fontId="17" fillId="0" borderId="101" xfId="10" applyFont="1" applyFill="1" applyBorder="1" applyAlignment="1">
      <alignment vertical="center"/>
    </xf>
    <xf numFmtId="3" fontId="19" fillId="0" borderId="103" xfId="10" applyNumberFormat="1" applyFont="1" applyFill="1" applyBorder="1" applyAlignment="1">
      <alignment vertical="center"/>
    </xf>
    <xf numFmtId="3" fontId="19" fillId="0" borderId="72" xfId="10" applyNumberFormat="1" applyFont="1" applyFill="1" applyBorder="1" applyAlignment="1">
      <alignment vertical="center"/>
    </xf>
    <xf numFmtId="3" fontId="19" fillId="0" borderId="74" xfId="10" applyNumberFormat="1" applyFont="1" applyFill="1" applyBorder="1" applyAlignment="1">
      <alignment vertical="center"/>
    </xf>
    <xf numFmtId="0" fontId="17" fillId="0" borderId="101" xfId="10" applyFont="1" applyFill="1" applyBorder="1" applyAlignment="1">
      <alignment vertical="center" wrapText="1"/>
    </xf>
    <xf numFmtId="0" fontId="17" fillId="0" borderId="104" xfId="10" applyFont="1" applyFill="1" applyBorder="1" applyAlignment="1">
      <alignment vertical="center" wrapText="1"/>
    </xf>
    <xf numFmtId="3" fontId="19" fillId="0" borderId="105" xfId="10" applyNumberFormat="1" applyFont="1" applyFill="1" applyBorder="1" applyAlignment="1">
      <alignment vertical="center"/>
    </xf>
    <xf numFmtId="3" fontId="17" fillId="0" borderId="106" xfId="10" applyNumberFormat="1" applyFont="1" applyFill="1" applyBorder="1" applyAlignment="1">
      <alignment vertical="center"/>
    </xf>
    <xf numFmtId="3" fontId="17" fillId="0" borderId="75" xfId="10" applyNumberFormat="1" applyFont="1" applyFill="1" applyBorder="1" applyAlignment="1">
      <alignment vertical="center"/>
    </xf>
    <xf numFmtId="3" fontId="17" fillId="0" borderId="76" xfId="10" applyNumberFormat="1" applyFont="1" applyFill="1" applyBorder="1" applyAlignment="1">
      <alignment vertical="center"/>
    </xf>
    <xf numFmtId="0" fontId="26" fillId="0" borderId="98" xfId="10" applyFont="1" applyFill="1" applyBorder="1" applyAlignment="1">
      <alignment vertical="center" wrapText="1"/>
    </xf>
    <xf numFmtId="0" fontId="24" fillId="0" borderId="107" xfId="10" applyFont="1" applyFill="1" applyBorder="1" applyAlignment="1">
      <alignment vertical="center"/>
    </xf>
    <xf numFmtId="3" fontId="19" fillId="0" borderId="108" xfId="10" applyNumberFormat="1" applyFont="1" applyFill="1" applyBorder="1" applyAlignment="1">
      <alignment vertical="center"/>
    </xf>
    <xf numFmtId="3" fontId="17" fillId="0" borderId="109" xfId="10" applyNumberFormat="1" applyFont="1" applyFill="1" applyBorder="1" applyAlignment="1">
      <alignment vertical="center"/>
    </xf>
    <xf numFmtId="3" fontId="17" fillId="0" borderId="110" xfId="10" applyNumberFormat="1" applyFont="1" applyFill="1" applyBorder="1" applyAlignment="1">
      <alignment vertical="center"/>
    </xf>
    <xf numFmtId="3" fontId="17" fillId="0" borderId="111" xfId="10" applyNumberFormat="1" applyFont="1" applyFill="1" applyBorder="1" applyAlignment="1">
      <alignment vertical="center"/>
    </xf>
    <xf numFmtId="3" fontId="26" fillId="0" borderId="8" xfId="10" applyNumberFormat="1" applyFont="1" applyFill="1" applyBorder="1" applyAlignment="1">
      <alignment vertical="center"/>
    </xf>
    <xf numFmtId="3" fontId="26" fillId="0" borderId="7" xfId="10" applyNumberFormat="1" applyFont="1" applyFill="1" applyBorder="1" applyAlignment="1">
      <alignment vertical="center"/>
    </xf>
    <xf numFmtId="3" fontId="26" fillId="0" borderId="112" xfId="10" applyNumberFormat="1" applyFont="1" applyFill="1" applyBorder="1" applyAlignment="1">
      <alignment vertical="center"/>
    </xf>
    <xf numFmtId="3" fontId="26" fillId="0" borderId="113" xfId="10" applyNumberFormat="1" applyFont="1" applyFill="1" applyBorder="1" applyAlignment="1">
      <alignment vertical="center"/>
    </xf>
    <xf numFmtId="3" fontId="26" fillId="0" borderId="114" xfId="10" applyNumberFormat="1" applyFont="1" applyFill="1" applyBorder="1" applyAlignment="1">
      <alignment vertical="center"/>
    </xf>
    <xf numFmtId="0" fontId="15" fillId="0" borderId="0" xfId="10" applyFont="1" applyFill="1" applyAlignment="1">
      <alignment horizontal="right"/>
    </xf>
    <xf numFmtId="0" fontId="24" fillId="0" borderId="0" xfId="10" applyFont="1" applyFill="1"/>
    <xf numFmtId="0" fontId="28" fillId="0" borderId="0" xfId="10" applyFont="1" applyFill="1"/>
    <xf numFmtId="0" fontId="15" fillId="0" borderId="0" xfId="0" applyFont="1" applyAlignment="1">
      <alignment vertical="center"/>
    </xf>
    <xf numFmtId="0" fontId="3" fillId="0" borderId="0" xfId="16" applyFont="1" applyAlignment="1">
      <alignment horizontal="right"/>
    </xf>
    <xf numFmtId="0" fontId="17" fillId="0" borderId="0" xfId="15" applyFont="1" applyAlignment="1">
      <alignment horizontal="right"/>
    </xf>
    <xf numFmtId="0" fontId="3" fillId="0" borderId="0" xfId="16" applyFont="1" applyAlignment="1">
      <alignment wrapText="1"/>
    </xf>
    <xf numFmtId="0" fontId="3" fillId="0" borderId="0" xfId="16" applyFont="1" applyAlignment="1">
      <alignment horizontal="right" wrapText="1"/>
    </xf>
    <xf numFmtId="0" fontId="28" fillId="0" borderId="0" xfId="16" applyFont="1" applyFill="1" applyBorder="1" applyAlignment="1">
      <alignment vertical="center" wrapText="1"/>
    </xf>
    <xf numFmtId="0" fontId="28" fillId="0" borderId="0" xfId="16" applyFont="1" applyFill="1" applyBorder="1" applyAlignment="1">
      <alignment horizontal="center" vertical="center" wrapText="1"/>
    </xf>
    <xf numFmtId="0" fontId="17" fillId="0" borderId="0" xfId="16" applyFont="1" applyFill="1" applyBorder="1" applyAlignment="1">
      <alignment horizontal="right" vertical="center" wrapText="1"/>
    </xf>
    <xf numFmtId="0" fontId="15" fillId="0" borderId="0" xfId="2" applyFont="1"/>
    <xf numFmtId="0" fontId="15" fillId="0" borderId="0" xfId="2" applyFont="1" applyAlignment="1">
      <alignment horizontal="center"/>
    </xf>
    <xf numFmtId="0" fontId="15" fillId="0" borderId="0" xfId="2" applyFont="1" applyAlignment="1">
      <alignment horizontal="right"/>
    </xf>
    <xf numFmtId="0" fontId="15" fillId="0" borderId="33" xfId="2" applyFont="1" applyFill="1" applyBorder="1"/>
    <xf numFmtId="0" fontId="15" fillId="0" borderId="34" xfId="2" applyFont="1" applyFill="1" applyBorder="1" applyAlignment="1">
      <alignment horizontal="center" vertical="center"/>
    </xf>
    <xf numFmtId="1" fontId="15" fillId="0" borderId="34" xfId="2" applyNumberFormat="1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13" xfId="2" applyFont="1" applyFill="1" applyBorder="1"/>
    <xf numFmtId="0" fontId="15" fillId="0" borderId="15" xfId="2" applyFont="1" applyFill="1" applyBorder="1"/>
    <xf numFmtId="0" fontId="15" fillId="0" borderId="15" xfId="2" applyFont="1" applyFill="1" applyBorder="1" applyAlignment="1">
      <alignment horizontal="center"/>
    </xf>
    <xf numFmtId="1" fontId="15" fillId="0" borderId="37" xfId="2" applyNumberFormat="1" applyFont="1" applyFill="1" applyBorder="1" applyAlignment="1">
      <alignment horizontal="center"/>
    </xf>
    <xf numFmtId="0" fontId="28" fillId="0" borderId="1" xfId="2" applyFont="1" applyFill="1" applyBorder="1" applyAlignment="1">
      <alignment horizontal="center"/>
    </xf>
    <xf numFmtId="0" fontId="28" fillId="0" borderId="3" xfId="2" applyFont="1" applyFill="1" applyBorder="1"/>
    <xf numFmtId="0" fontId="28" fillId="0" borderId="3" xfId="2" applyFont="1" applyFill="1" applyBorder="1" applyAlignment="1">
      <alignment horizontal="center"/>
    </xf>
    <xf numFmtId="3" fontId="33" fillId="0" borderId="3" xfId="2" applyNumberFormat="1" applyFont="1" applyFill="1" applyBorder="1"/>
    <xf numFmtId="0" fontId="15" fillId="0" borderId="5" xfId="2" applyFont="1" applyFill="1" applyBorder="1" applyAlignment="1">
      <alignment horizontal="center"/>
    </xf>
    <xf numFmtId="0" fontId="15" fillId="0" borderId="7" xfId="2" applyFont="1" applyFill="1" applyBorder="1"/>
    <xf numFmtId="0" fontId="15" fillId="0" borderId="7" xfId="2" applyFont="1" applyFill="1" applyBorder="1" applyAlignment="1">
      <alignment horizontal="center"/>
    </xf>
    <xf numFmtId="3" fontId="34" fillId="0" borderId="8" xfId="2" applyNumberFormat="1" applyFont="1" applyFill="1" applyBorder="1"/>
    <xf numFmtId="0" fontId="35" fillId="0" borderId="7" xfId="2" applyFont="1" applyFill="1" applyBorder="1" applyAlignment="1">
      <alignment horizontal="right"/>
    </xf>
    <xf numFmtId="0" fontId="15" fillId="0" borderId="11" xfId="2" applyFont="1" applyFill="1" applyBorder="1" applyAlignment="1">
      <alignment horizontal="center"/>
    </xf>
    <xf numFmtId="0" fontId="15" fillId="0" borderId="10" xfId="2" applyFont="1" applyFill="1" applyBorder="1"/>
    <xf numFmtId="0" fontId="15" fillId="0" borderId="10" xfId="2" applyFont="1" applyFill="1" applyBorder="1" applyAlignment="1">
      <alignment horizontal="center"/>
    </xf>
    <xf numFmtId="3" fontId="34" fillId="0" borderId="10" xfId="2" applyNumberFormat="1" applyFont="1" applyFill="1" applyBorder="1"/>
    <xf numFmtId="0" fontId="35" fillId="0" borderId="10" xfId="2" applyFont="1" applyFill="1" applyBorder="1" applyAlignment="1">
      <alignment horizontal="right"/>
    </xf>
    <xf numFmtId="3" fontId="15" fillId="0" borderId="10" xfId="2" applyNumberFormat="1" applyFont="1" applyFill="1" applyBorder="1"/>
    <xf numFmtId="3" fontId="34" fillId="0" borderId="30" xfId="2" applyNumberFormat="1" applyFont="1" applyFill="1" applyBorder="1"/>
    <xf numFmtId="0" fontId="15" fillId="0" borderId="42" xfId="2" applyFont="1" applyFill="1" applyBorder="1" applyAlignment="1">
      <alignment horizontal="center"/>
    </xf>
    <xf numFmtId="0" fontId="35" fillId="0" borderId="41" xfId="2" applyFont="1" applyFill="1" applyBorder="1" applyAlignment="1">
      <alignment horizontal="right"/>
    </xf>
    <xf numFmtId="3" fontId="36" fillId="0" borderId="41" xfId="2" applyNumberFormat="1" applyFont="1" applyFill="1" applyBorder="1"/>
    <xf numFmtId="3" fontId="36" fillId="0" borderId="10" xfId="2" applyNumberFormat="1" applyFont="1" applyFill="1" applyBorder="1"/>
    <xf numFmtId="0" fontId="15" fillId="0" borderId="52" xfId="2" applyFont="1" applyFill="1" applyBorder="1" applyAlignment="1">
      <alignment horizontal="center"/>
    </xf>
    <xf numFmtId="0" fontId="15" fillId="0" borderId="54" xfId="2" applyFont="1" applyFill="1" applyBorder="1"/>
    <xf numFmtId="0" fontId="35" fillId="0" borderId="3" xfId="2" applyFont="1" applyFill="1" applyBorder="1" applyAlignment="1">
      <alignment horizontal="center"/>
    </xf>
    <xf numFmtId="3" fontId="28" fillId="0" borderId="3" xfId="2" applyNumberFormat="1" applyFont="1" applyFill="1" applyBorder="1"/>
    <xf numFmtId="0" fontId="15" fillId="0" borderId="41" xfId="2" applyFont="1" applyFill="1" applyBorder="1"/>
    <xf numFmtId="3" fontId="15" fillId="0" borderId="41" xfId="2" applyNumberFormat="1" applyFont="1" applyFill="1" applyBorder="1"/>
    <xf numFmtId="3" fontId="33" fillId="0" borderId="47" xfId="2" applyNumberFormat="1" applyFont="1" applyFill="1" applyBorder="1"/>
    <xf numFmtId="0" fontId="15" fillId="0" borderId="1" xfId="2" applyFont="1" applyFill="1" applyBorder="1" applyAlignment="1">
      <alignment horizontal="center"/>
    </xf>
    <xf numFmtId="0" fontId="15" fillId="0" borderId="3" xfId="2" applyFont="1" applyFill="1" applyBorder="1"/>
    <xf numFmtId="3" fontId="15" fillId="0" borderId="3" xfId="2" applyNumberFormat="1" applyFont="1" applyFill="1" applyBorder="1"/>
    <xf numFmtId="0" fontId="15" fillId="0" borderId="0" xfId="2" applyFont="1" applyBorder="1"/>
    <xf numFmtId="0" fontId="15" fillId="0" borderId="0" xfId="0" applyFont="1" applyAlignment="1">
      <alignment horizontal="right" vertical="center"/>
    </xf>
    <xf numFmtId="0" fontId="19" fillId="0" borderId="0" xfId="0" applyFont="1" applyFill="1" applyAlignment="1">
      <alignment horizontal="center"/>
    </xf>
    <xf numFmtId="0" fontId="28" fillId="0" borderId="0" xfId="0" applyFont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3" fontId="15" fillId="0" borderId="7" xfId="0" quotePrefix="1" applyNumberFormat="1" applyFont="1" applyFill="1" applyBorder="1" applyAlignment="1">
      <alignment vertical="center"/>
    </xf>
    <xf numFmtId="0" fontId="15" fillId="0" borderId="11" xfId="1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3" fontId="15" fillId="0" borderId="7" xfId="0" quotePrefix="1" applyNumberFormat="1" applyFont="1" applyBorder="1" applyAlignment="1">
      <alignment vertical="center"/>
    </xf>
    <xf numFmtId="3" fontId="15" fillId="0" borderId="10" xfId="0" quotePrefix="1" applyNumberFormat="1" applyFont="1" applyFill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3" xfId="1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3" fontId="15" fillId="0" borderId="15" xfId="0" quotePrefix="1" applyNumberFormat="1" applyFont="1" applyBorder="1" applyAlignment="1">
      <alignment vertical="center"/>
    </xf>
    <xf numFmtId="3" fontId="15" fillId="0" borderId="15" xfId="0" quotePrefix="1" applyNumberFormat="1" applyFont="1" applyFill="1" applyBorder="1" applyAlignment="1">
      <alignment vertical="center"/>
    </xf>
    <xf numFmtId="0" fontId="15" fillId="0" borderId="16" xfId="1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3" fontId="15" fillId="0" borderId="18" xfId="0" quotePrefix="1" applyNumberFormat="1" applyFont="1" applyBorder="1" applyAlignment="1">
      <alignment vertical="center"/>
    </xf>
    <xf numFmtId="3" fontId="15" fillId="0" borderId="21" xfId="1" applyNumberFormat="1" applyFont="1" applyBorder="1" applyAlignment="1">
      <alignment vertical="center"/>
    </xf>
    <xf numFmtId="3" fontId="28" fillId="0" borderId="21" xfId="0" applyNumberFormat="1" applyFont="1" applyBorder="1" applyAlignment="1">
      <alignment vertical="center"/>
    </xf>
    <xf numFmtId="3" fontId="28" fillId="0" borderId="22" xfId="0" applyNumberFormat="1" applyFont="1" applyBorder="1" applyAlignment="1">
      <alignment vertical="center"/>
    </xf>
    <xf numFmtId="3" fontId="15" fillId="0" borderId="0" xfId="0" applyNumberFormat="1" applyFont="1" applyAlignment="1">
      <alignment horizontal="right" vertical="center"/>
    </xf>
    <xf numFmtId="49" fontId="26" fillId="0" borderId="0" xfId="7" applyNumberFormat="1" applyFont="1" applyFill="1" applyAlignment="1">
      <alignment wrapText="1"/>
    </xf>
    <xf numFmtId="0" fontId="28" fillId="0" borderId="0" xfId="7" applyFont="1" applyFill="1"/>
    <xf numFmtId="0" fontId="15" fillId="0" borderId="0" xfId="7" applyFont="1" applyFill="1"/>
    <xf numFmtId="0" fontId="39" fillId="0" borderId="0" xfId="7" applyFont="1" applyFill="1"/>
    <xf numFmtId="49" fontId="40" fillId="0" borderId="46" xfId="7" applyNumberFormat="1" applyFont="1" applyFill="1" applyBorder="1" applyAlignment="1">
      <alignment vertical="center"/>
    </xf>
    <xf numFmtId="0" fontId="21" fillId="0" borderId="0" xfId="7" applyFont="1" applyFill="1" applyAlignment="1">
      <alignment horizontal="left"/>
    </xf>
    <xf numFmtId="49" fontId="15" fillId="0" borderId="55" xfId="7" applyNumberFormat="1" applyFont="1" applyFill="1" applyBorder="1" applyAlignment="1">
      <alignment wrapText="1"/>
    </xf>
    <xf numFmtId="0" fontId="14" fillId="0" borderId="0" xfId="7" applyFont="1" applyFill="1"/>
    <xf numFmtId="164" fontId="15" fillId="0" borderId="58" xfId="8" applyNumberFormat="1" applyFont="1" applyFill="1" applyBorder="1" applyAlignment="1" applyProtection="1">
      <alignment horizontal="center" vertical="center" wrapText="1"/>
      <protection hidden="1"/>
    </xf>
    <xf numFmtId="49" fontId="15" fillId="0" borderId="58" xfId="7" applyNumberFormat="1" applyFont="1" applyFill="1" applyBorder="1" applyAlignment="1">
      <alignment horizontal="center" wrapText="1"/>
    </xf>
    <xf numFmtId="0" fontId="15" fillId="0" borderId="60" xfId="7" applyFont="1" applyFill="1" applyBorder="1" applyAlignment="1">
      <alignment horizontal="center"/>
    </xf>
    <xf numFmtId="0" fontId="15" fillId="0" borderId="61" xfId="7" applyFont="1" applyFill="1" applyBorder="1" applyAlignment="1">
      <alignment horizontal="center"/>
    </xf>
    <xf numFmtId="0" fontId="15" fillId="0" borderId="50" xfId="7" applyFont="1" applyFill="1" applyBorder="1" applyAlignment="1">
      <alignment horizontal="center" vertical="center" wrapText="1"/>
    </xf>
    <xf numFmtId="0" fontId="15" fillId="0" borderId="50" xfId="7" applyFont="1" applyFill="1" applyBorder="1" applyAlignment="1">
      <alignment horizontal="center" wrapText="1"/>
    </xf>
    <xf numFmtId="0" fontId="15" fillId="0" borderId="13" xfId="7" applyFont="1" applyFill="1" applyBorder="1" applyAlignment="1">
      <alignment horizontal="center"/>
    </xf>
    <xf numFmtId="0" fontId="15" fillId="0" borderId="14" xfId="7" applyFont="1" applyFill="1" applyBorder="1" applyAlignment="1">
      <alignment horizontal="center"/>
    </xf>
    <xf numFmtId="0" fontId="15" fillId="0" borderId="15" xfId="7" applyFont="1" applyFill="1" applyBorder="1" applyAlignment="1">
      <alignment horizontal="center" vertical="center"/>
    </xf>
    <xf numFmtId="0" fontId="15" fillId="0" borderId="62" xfId="7" applyFont="1" applyFill="1" applyBorder="1" applyAlignment="1">
      <alignment horizontal="center" vertical="center" wrapText="1"/>
    </xf>
    <xf numFmtId="49" fontId="15" fillId="0" borderId="58" xfId="7" applyNumberFormat="1" applyFont="1" applyFill="1" applyBorder="1" applyAlignment="1">
      <alignment wrapText="1"/>
    </xf>
    <xf numFmtId="0" fontId="15" fillId="0" borderId="15" xfId="7" applyFont="1" applyFill="1" applyBorder="1" applyAlignment="1">
      <alignment horizontal="center" vertical="center" wrapText="1"/>
    </xf>
    <xf numFmtId="0" fontId="15" fillId="0" borderId="15" xfId="9" applyFont="1" applyFill="1" applyBorder="1" applyAlignment="1">
      <alignment horizontal="center" wrapText="1"/>
    </xf>
    <xf numFmtId="0" fontId="15" fillId="0" borderId="15" xfId="9" applyFont="1" applyFill="1" applyBorder="1" applyAlignment="1">
      <alignment horizontal="center" vertical="center" wrapText="1"/>
    </xf>
    <xf numFmtId="0" fontId="15" fillId="0" borderId="29" xfId="9" applyFont="1" applyFill="1" applyBorder="1" applyAlignment="1">
      <alignment horizontal="center" vertical="center" wrapText="1"/>
    </xf>
    <xf numFmtId="49" fontId="15" fillId="0" borderId="63" xfId="7" applyNumberFormat="1" applyFont="1" applyFill="1" applyBorder="1" applyAlignment="1">
      <alignment vertical="center" wrapText="1"/>
    </xf>
    <xf numFmtId="0" fontId="15" fillId="0" borderId="5" xfId="7" applyFont="1" applyFill="1" applyBorder="1" applyAlignment="1">
      <alignment horizontal="center" vertical="center"/>
    </xf>
    <xf numFmtId="0" fontId="15" fillId="0" borderId="6" xfId="7" applyFont="1" applyFill="1" applyBorder="1" applyAlignment="1">
      <alignment horizontal="center" vertical="center"/>
    </xf>
    <xf numFmtId="0" fontId="15" fillId="0" borderId="6" xfId="7" applyFont="1" applyFill="1" applyBorder="1" applyAlignment="1">
      <alignment horizontal="center" vertical="center" wrapText="1"/>
    </xf>
    <xf numFmtId="0" fontId="15" fillId="0" borderId="7" xfId="9" applyFont="1" applyFill="1" applyBorder="1" applyAlignment="1">
      <alignment horizontal="center" wrapText="1"/>
    </xf>
    <xf numFmtId="0" fontId="15" fillId="0" borderId="21" xfId="7" applyFont="1" applyFill="1" applyBorder="1" applyAlignment="1">
      <alignment horizontal="center" vertical="center" wrapText="1"/>
    </xf>
    <xf numFmtId="0" fontId="15" fillId="0" borderId="14" xfId="7" applyFont="1" applyFill="1" applyBorder="1" applyAlignment="1">
      <alignment horizontal="center" vertical="center" wrapText="1"/>
    </xf>
    <xf numFmtId="0" fontId="15" fillId="0" borderId="22" xfId="9" applyFont="1" applyFill="1" applyBorder="1" applyAlignment="1">
      <alignment horizontal="center" vertical="center" wrapText="1"/>
    </xf>
    <xf numFmtId="0" fontId="15" fillId="0" borderId="13" xfId="7" applyFont="1" applyFill="1" applyBorder="1" applyAlignment="1">
      <alignment horizontal="center" vertical="center" wrapText="1"/>
    </xf>
    <xf numFmtId="0" fontId="28" fillId="0" borderId="0" xfId="7" applyFont="1" applyFill="1" applyAlignment="1">
      <alignment vertical="center"/>
    </xf>
    <xf numFmtId="49" fontId="28" fillId="0" borderId="94" xfId="7" applyNumberFormat="1" applyFont="1" applyFill="1" applyBorder="1" applyAlignment="1">
      <alignment vertical="center" wrapText="1"/>
    </xf>
    <xf numFmtId="0" fontId="28" fillId="0" borderId="64" xfId="7" applyFont="1" applyFill="1" applyBorder="1" applyAlignment="1">
      <alignment horizontal="center" vertical="center"/>
    </xf>
    <xf numFmtId="0" fontId="28" fillId="0" borderId="39" xfId="7" applyFont="1" applyFill="1" applyBorder="1" applyAlignment="1">
      <alignment horizontal="center" vertical="center"/>
    </xf>
    <xf numFmtId="0" fontId="28" fillId="0" borderId="39" xfId="7" applyFont="1" applyFill="1" applyBorder="1" applyAlignment="1">
      <alignment horizontal="center" vertical="center" wrapText="1"/>
    </xf>
    <xf numFmtId="0" fontId="28" fillId="0" borderId="39" xfId="9" applyFont="1" applyFill="1" applyBorder="1" applyAlignment="1">
      <alignment horizontal="center" wrapText="1"/>
    </xf>
    <xf numFmtId="0" fontId="28" fillId="0" borderId="64" xfId="7" applyFont="1" applyFill="1" applyBorder="1" applyAlignment="1">
      <alignment horizontal="center" vertical="center" wrapText="1"/>
    </xf>
    <xf numFmtId="0" fontId="28" fillId="0" borderId="39" xfId="9" applyFont="1" applyFill="1" applyBorder="1" applyAlignment="1">
      <alignment horizontal="center" vertical="center" wrapText="1"/>
    </xf>
    <xf numFmtId="0" fontId="28" fillId="0" borderId="65" xfId="9" applyFont="1" applyFill="1" applyBorder="1" applyAlignment="1">
      <alignment horizontal="center" vertical="center" wrapText="1"/>
    </xf>
    <xf numFmtId="49" fontId="15" fillId="0" borderId="66" xfId="7" applyNumberFormat="1" applyFont="1" applyFill="1" applyBorder="1" applyAlignment="1">
      <alignment horizontal="left" vertical="center" wrapText="1"/>
    </xf>
    <xf numFmtId="3" fontId="15" fillId="0" borderId="11" xfId="7" applyNumberFormat="1" applyFont="1" applyFill="1" applyBorder="1" applyAlignment="1"/>
    <xf numFmtId="3" fontId="15" fillId="0" borderId="10" xfId="7" applyNumberFormat="1" applyFont="1" applyFill="1" applyBorder="1" applyAlignment="1"/>
    <xf numFmtId="4" fontId="15" fillId="0" borderId="10" xfId="7" applyNumberFormat="1" applyFont="1" applyFill="1" applyBorder="1" applyAlignment="1"/>
    <xf numFmtId="4" fontId="15" fillId="0" borderId="49" xfId="7" applyNumberFormat="1" applyFont="1" applyFill="1" applyBorder="1" applyAlignment="1"/>
    <xf numFmtId="3" fontId="15" fillId="0" borderId="0" xfId="0" applyNumberFormat="1" applyFont="1"/>
    <xf numFmtId="49" fontId="15" fillId="0" borderId="67" xfId="7" applyNumberFormat="1" applyFont="1" applyFill="1" applyBorder="1" applyAlignment="1">
      <alignment horizontal="left" vertical="center" wrapText="1"/>
    </xf>
    <xf numFmtId="49" fontId="15" fillId="0" borderId="68" xfId="7" applyNumberFormat="1" applyFont="1" applyFill="1" applyBorder="1" applyAlignment="1">
      <alignment horizontal="left" vertical="center" wrapText="1"/>
    </xf>
    <xf numFmtId="49" fontId="15" fillId="0" borderId="69" xfId="7" applyNumberFormat="1" applyFont="1" applyFill="1" applyBorder="1" applyAlignment="1">
      <alignment horizontal="left" vertical="center" wrapText="1"/>
    </xf>
    <xf numFmtId="49" fontId="28" fillId="0" borderId="70" xfId="7" applyNumberFormat="1" applyFont="1" applyFill="1" applyBorder="1" applyAlignment="1">
      <alignment vertical="center" wrapText="1"/>
    </xf>
    <xf numFmtId="3" fontId="28" fillId="0" borderId="1" xfId="8" applyNumberFormat="1" applyFont="1" applyFill="1" applyBorder="1" applyAlignment="1" applyProtection="1">
      <alignment vertical="center"/>
      <protection hidden="1"/>
    </xf>
    <xf numFmtId="3" fontId="28" fillId="0" borderId="3" xfId="7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9" fontId="28" fillId="0" borderId="0" xfId="7" applyNumberFormat="1" applyFont="1" applyFill="1" applyAlignment="1">
      <alignment wrapText="1"/>
    </xf>
    <xf numFmtId="0" fontId="15" fillId="0" borderId="0" xfId="3" applyFont="1" applyFill="1"/>
    <xf numFmtId="0" fontId="15" fillId="0" borderId="0" xfId="3" applyFont="1" applyFill="1" applyAlignment="1">
      <alignment horizontal="right"/>
    </xf>
    <xf numFmtId="0" fontId="15" fillId="0" borderId="0" xfId="3" applyFont="1"/>
    <xf numFmtId="3" fontId="15" fillId="0" borderId="0" xfId="3" applyNumberFormat="1" applyFont="1" applyFill="1"/>
    <xf numFmtId="0" fontId="15" fillId="0" borderId="1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/>
    </xf>
    <xf numFmtId="0" fontId="15" fillId="0" borderId="6" xfId="3" applyFont="1" applyFill="1" applyBorder="1" applyAlignment="1">
      <alignment vertical="center"/>
    </xf>
    <xf numFmtId="3" fontId="15" fillId="0" borderId="7" xfId="3" applyNumberFormat="1" applyFont="1" applyFill="1" applyBorder="1" applyAlignment="1">
      <alignment horizontal="right" vertical="center" indent="1"/>
    </xf>
    <xf numFmtId="0" fontId="15" fillId="0" borderId="11" xfId="3" applyFont="1" applyBorder="1" applyAlignment="1">
      <alignment horizontal="center" vertical="center"/>
    </xf>
    <xf numFmtId="0" fontId="37" fillId="0" borderId="12" xfId="3" applyFont="1" applyFill="1" applyBorder="1" applyAlignment="1">
      <alignment vertical="center"/>
    </xf>
    <xf numFmtId="3" fontId="37" fillId="0" borderId="10" xfId="3" applyNumberFormat="1" applyFont="1" applyFill="1" applyBorder="1" applyAlignment="1">
      <alignment horizontal="right" vertical="center" indent="1"/>
    </xf>
    <xf numFmtId="0" fontId="37" fillId="0" borderId="10" xfId="3" applyFont="1" applyFill="1" applyBorder="1" applyAlignment="1">
      <alignment vertical="center"/>
    </xf>
    <xf numFmtId="3" fontId="15" fillId="0" borderId="41" xfId="3" applyNumberFormat="1" applyFont="1" applyFill="1" applyBorder="1" applyAlignment="1">
      <alignment horizontal="right" vertical="center" indent="1"/>
    </xf>
    <xf numFmtId="0" fontId="15" fillId="0" borderId="7" xfId="3" applyFont="1" applyFill="1" applyBorder="1" applyAlignment="1">
      <alignment vertical="center"/>
    </xf>
    <xf numFmtId="0" fontId="15" fillId="0" borderId="10" xfId="3" applyFont="1" applyFill="1" applyBorder="1" applyAlignment="1">
      <alignment vertical="center"/>
    </xf>
    <xf numFmtId="0" fontId="15" fillId="0" borderId="11" xfId="3" applyNumberFormat="1" applyFont="1" applyBorder="1" applyAlignment="1">
      <alignment horizontal="center" vertical="center"/>
    </xf>
    <xf numFmtId="0" fontId="15" fillId="0" borderId="10" xfId="3" applyNumberFormat="1" applyFont="1" applyFill="1" applyBorder="1" applyAlignment="1">
      <alignment vertical="center"/>
    </xf>
    <xf numFmtId="0" fontId="15" fillId="0" borderId="16" xfId="3" applyFont="1" applyBorder="1" applyAlignment="1">
      <alignment horizontal="center" vertical="center"/>
    </xf>
    <xf numFmtId="0" fontId="15" fillId="0" borderId="18" xfId="3" applyFont="1" applyFill="1" applyBorder="1" applyAlignment="1">
      <alignment vertical="center"/>
    </xf>
    <xf numFmtId="3" fontId="15" fillId="0" borderId="18" xfId="3" applyNumberFormat="1" applyFont="1" applyFill="1" applyBorder="1" applyAlignment="1">
      <alignment horizontal="right" vertical="center" indent="1"/>
    </xf>
    <xf numFmtId="0" fontId="15" fillId="0" borderId="21" xfId="3" applyFont="1" applyBorder="1" applyAlignment="1">
      <alignment vertical="center"/>
    </xf>
    <xf numFmtId="0" fontId="28" fillId="0" borderId="45" xfId="3" applyFont="1" applyFill="1" applyBorder="1" applyAlignment="1">
      <alignment vertical="center" wrapText="1"/>
    </xf>
    <xf numFmtId="3" fontId="28" fillId="0" borderId="22" xfId="3" applyNumberFormat="1" applyFont="1" applyFill="1" applyBorder="1" applyAlignment="1">
      <alignment horizontal="right" vertical="center" indent="1"/>
    </xf>
    <xf numFmtId="0" fontId="28" fillId="0" borderId="0" xfId="3" applyFont="1" applyFill="1"/>
    <xf numFmtId="3" fontId="28" fillId="0" borderId="0" xfId="3" applyNumberFormat="1" applyFont="1" applyFill="1"/>
    <xf numFmtId="0" fontId="15" fillId="0" borderId="0" xfId="0" applyFont="1" applyFill="1" applyAlignment="1">
      <alignment vertical="center"/>
    </xf>
    <xf numFmtId="3" fontId="15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left"/>
    </xf>
    <xf numFmtId="0" fontId="28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3" fontId="15" fillId="0" borderId="39" xfId="0" quotePrefix="1" applyNumberFormat="1" applyFont="1" applyFill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3" fontId="15" fillId="0" borderId="0" xfId="0" quotePrefix="1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28" fillId="0" borderId="0" xfId="0" applyFont="1" applyFill="1"/>
    <xf numFmtId="0" fontId="36" fillId="0" borderId="7" xfId="2" applyFont="1" applyFill="1" applyBorder="1" applyAlignment="1">
      <alignment horizontal="center"/>
    </xf>
    <xf numFmtId="3" fontId="36" fillId="0" borderId="7" xfId="2" applyNumberFormat="1" applyFont="1" applyFill="1" applyBorder="1"/>
    <xf numFmtId="0" fontId="36" fillId="0" borderId="10" xfId="2" applyFont="1" applyFill="1" applyBorder="1" applyAlignment="1">
      <alignment horizontal="center"/>
    </xf>
    <xf numFmtId="3" fontId="15" fillId="0" borderId="54" xfId="2" applyNumberFormat="1" applyFont="1" applyFill="1" applyBorder="1"/>
    <xf numFmtId="0" fontId="37" fillId="0" borderId="7" xfId="2" applyFont="1" applyFill="1" applyBorder="1" applyAlignment="1">
      <alignment horizontal="center"/>
    </xf>
    <xf numFmtId="0" fontId="36" fillId="0" borderId="41" xfId="2" applyFont="1" applyFill="1" applyBorder="1" applyAlignment="1">
      <alignment horizontal="center"/>
    </xf>
    <xf numFmtId="0" fontId="15" fillId="0" borderId="41" xfId="2" applyFont="1" applyFill="1" applyBorder="1" applyAlignment="1">
      <alignment horizontal="center"/>
    </xf>
    <xf numFmtId="0" fontId="15" fillId="0" borderId="3" xfId="2" applyFont="1" applyFill="1" applyBorder="1" applyAlignment="1">
      <alignment horizontal="center"/>
    </xf>
    <xf numFmtId="0" fontId="15" fillId="0" borderId="54" xfId="2" applyFont="1" applyFill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5" fillId="0" borderId="0" xfId="3" applyFont="1" applyFill="1" applyAlignment="1">
      <alignment vertical="center" wrapText="1"/>
    </xf>
    <xf numFmtId="0" fontId="26" fillId="0" borderId="0" xfId="16" applyFont="1" applyFill="1" applyBorder="1" applyAlignment="1">
      <alignment horizontal="center" vertical="center" wrapText="1"/>
    </xf>
    <xf numFmtId="3" fontId="15" fillId="0" borderId="18" xfId="0" quotePrefix="1" applyNumberFormat="1" applyFont="1" applyFill="1" applyBorder="1" applyAlignment="1">
      <alignment vertical="center"/>
    </xf>
    <xf numFmtId="3" fontId="28" fillId="0" borderId="22" xfId="0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28" fillId="0" borderId="28" xfId="0" applyNumberFormat="1" applyFont="1" applyFill="1" applyBorder="1" applyAlignment="1">
      <alignment vertical="center"/>
    </xf>
    <xf numFmtId="0" fontId="15" fillId="0" borderId="3" xfId="3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right" vertical="center"/>
    </xf>
    <xf numFmtId="0" fontId="28" fillId="0" borderId="0" xfId="0" applyFont="1" applyFill="1" applyAlignment="1">
      <alignment horizontal="center" vertical="center"/>
    </xf>
    <xf numFmtId="0" fontId="15" fillId="0" borderId="47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65" fontId="15" fillId="0" borderId="7" xfId="3" applyNumberFormat="1" applyFont="1" applyFill="1" applyBorder="1"/>
    <xf numFmtId="165" fontId="15" fillId="0" borderId="9" xfId="3" applyNumberFormat="1" applyFont="1" applyFill="1" applyBorder="1"/>
    <xf numFmtId="0" fontId="15" fillId="0" borderId="10" xfId="3" applyFont="1" applyFill="1" applyBorder="1"/>
    <xf numFmtId="0" fontId="15" fillId="0" borderId="49" xfId="3" applyFont="1" applyFill="1" applyBorder="1"/>
    <xf numFmtId="165" fontId="15" fillId="0" borderId="10" xfId="3" applyNumberFormat="1" applyFont="1" applyFill="1" applyBorder="1"/>
    <xf numFmtId="165" fontId="15" fillId="0" borderId="49" xfId="3" applyNumberFormat="1" applyFont="1" applyFill="1" applyBorder="1"/>
    <xf numFmtId="3" fontId="15" fillId="0" borderId="10" xfId="3" applyNumberFormat="1" applyFont="1" applyFill="1" applyBorder="1" applyAlignment="1">
      <alignment horizontal="right" vertical="center" indent="1"/>
    </xf>
    <xf numFmtId="165" fontId="15" fillId="0" borderId="18" xfId="3" applyNumberFormat="1" applyFont="1" applyFill="1" applyBorder="1"/>
    <xf numFmtId="165" fontId="15" fillId="0" borderId="20" xfId="3" applyNumberFormat="1" applyFont="1" applyFill="1" applyBorder="1"/>
    <xf numFmtId="165" fontId="28" fillId="0" borderId="22" xfId="3" applyNumberFormat="1" applyFont="1" applyFill="1" applyBorder="1" applyAlignment="1">
      <alignment vertical="center"/>
    </xf>
    <xf numFmtId="165" fontId="28" fillId="0" borderId="24" xfId="3" applyNumberFormat="1" applyFont="1" applyFill="1" applyBorder="1" applyAlignment="1">
      <alignment vertical="center"/>
    </xf>
    <xf numFmtId="0" fontId="15" fillId="0" borderId="0" xfId="2" applyFont="1" applyFill="1"/>
    <xf numFmtId="0" fontId="15" fillId="0" borderId="34" xfId="0" applyFont="1" applyFill="1" applyBorder="1" applyAlignment="1">
      <alignment horizontal="center" vertical="center" wrapText="1"/>
    </xf>
    <xf numFmtId="0" fontId="15" fillId="0" borderId="0" xfId="2" applyFont="1" applyFill="1" applyAlignment="1">
      <alignment horizontal="right"/>
    </xf>
    <xf numFmtId="1" fontId="15" fillId="0" borderId="36" xfId="2" applyNumberFormat="1" applyFont="1" applyFill="1" applyBorder="1" applyAlignment="1">
      <alignment horizontal="center" vertical="center" wrapText="1"/>
    </xf>
    <xf numFmtId="1" fontId="15" fillId="0" borderId="51" xfId="2" applyNumberFormat="1" applyFont="1" applyFill="1" applyBorder="1" applyAlignment="1">
      <alignment horizontal="center" vertical="center" wrapText="1"/>
    </xf>
    <xf numFmtId="1" fontId="15" fillId="0" borderId="28" xfId="2" applyNumberFormat="1" applyFont="1" applyFill="1" applyBorder="1" applyAlignment="1">
      <alignment horizontal="center"/>
    </xf>
    <xf numFmtId="1" fontId="15" fillId="0" borderId="133" xfId="2" applyNumberFormat="1" applyFont="1" applyFill="1" applyBorder="1" applyAlignment="1">
      <alignment horizontal="center"/>
    </xf>
    <xf numFmtId="1" fontId="15" fillId="0" borderId="31" xfId="2" applyNumberFormat="1" applyFont="1" applyFill="1" applyBorder="1" applyAlignment="1">
      <alignment horizontal="center"/>
    </xf>
    <xf numFmtId="0" fontId="15" fillId="0" borderId="133" xfId="2" applyFont="1" applyFill="1" applyBorder="1"/>
    <xf numFmtId="0" fontId="15" fillId="0" borderId="28" xfId="2" applyFont="1" applyFill="1" applyBorder="1"/>
    <xf numFmtId="0" fontId="15" fillId="0" borderId="38" xfId="2" applyFont="1" applyFill="1" applyBorder="1"/>
    <xf numFmtId="3" fontId="33" fillId="0" borderId="26" xfId="2" applyNumberFormat="1" applyFont="1" applyFill="1" applyBorder="1"/>
    <xf numFmtId="3" fontId="33" fillId="0" borderId="4" xfId="2" applyNumberFormat="1" applyFont="1" applyFill="1" applyBorder="1"/>
    <xf numFmtId="164" fontId="15" fillId="0" borderId="2" xfId="0" quotePrefix="1" applyNumberFormat="1" applyFont="1" applyFill="1" applyBorder="1" applyAlignment="1">
      <alignment vertical="center"/>
    </xf>
    <xf numFmtId="164" fontId="15" fillId="0" borderId="4" xfId="0" quotePrefix="1" applyNumberFormat="1" applyFont="1" applyFill="1" applyBorder="1" applyAlignment="1">
      <alignment vertical="center"/>
    </xf>
    <xf numFmtId="3" fontId="34" fillId="0" borderId="39" xfId="2" applyNumberFormat="1" applyFont="1" applyFill="1" applyBorder="1"/>
    <xf numFmtId="3" fontId="34" fillId="0" borderId="134" xfId="2" applyNumberFormat="1" applyFont="1" applyFill="1" applyBorder="1"/>
    <xf numFmtId="3" fontId="34" fillId="0" borderId="9" xfId="2" applyNumberFormat="1" applyFont="1" applyFill="1" applyBorder="1"/>
    <xf numFmtId="164" fontId="15" fillId="0" borderId="6" xfId="0" quotePrefix="1" applyNumberFormat="1" applyFont="1" applyFill="1" applyBorder="1" applyAlignment="1">
      <alignment vertical="center"/>
    </xf>
    <xf numFmtId="164" fontId="15" fillId="0" borderId="9" xfId="0" quotePrefix="1" applyNumberFormat="1" applyFont="1" applyFill="1" applyBorder="1" applyAlignment="1">
      <alignment vertical="center"/>
    </xf>
    <xf numFmtId="3" fontId="36" fillId="0" borderId="132" xfId="2" applyNumberFormat="1" applyFont="1" applyFill="1" applyBorder="1"/>
    <xf numFmtId="3" fontId="36" fillId="0" borderId="9" xfId="2" applyNumberFormat="1" applyFont="1" applyFill="1" applyBorder="1"/>
    <xf numFmtId="164" fontId="36" fillId="0" borderId="6" xfId="0" quotePrefix="1" applyNumberFormat="1" applyFont="1" applyFill="1" applyBorder="1" applyAlignment="1">
      <alignment vertical="center"/>
    </xf>
    <xf numFmtId="164" fontId="36" fillId="0" borderId="9" xfId="0" quotePrefix="1" applyNumberFormat="1" applyFont="1" applyFill="1" applyBorder="1" applyAlignment="1">
      <alignment vertical="center"/>
    </xf>
    <xf numFmtId="3" fontId="34" fillId="0" borderId="135" xfId="2" applyNumberFormat="1" applyFont="1" applyFill="1" applyBorder="1"/>
    <xf numFmtId="3" fontId="36" fillId="0" borderId="135" xfId="2" applyNumberFormat="1" applyFont="1" applyFill="1" applyBorder="1"/>
    <xf numFmtId="3" fontId="15" fillId="0" borderId="135" xfId="2" applyNumberFormat="1" applyFont="1" applyFill="1" applyBorder="1"/>
    <xf numFmtId="3" fontId="15" fillId="0" borderId="9" xfId="2" applyNumberFormat="1" applyFont="1" applyFill="1" applyBorder="1"/>
    <xf numFmtId="3" fontId="36" fillId="0" borderId="136" xfId="2" applyNumberFormat="1" applyFont="1" applyFill="1" applyBorder="1"/>
    <xf numFmtId="3" fontId="36" fillId="0" borderId="49" xfId="2" applyNumberFormat="1" applyFont="1" applyFill="1" applyBorder="1"/>
    <xf numFmtId="3" fontId="34" fillId="0" borderId="49" xfId="2" applyNumberFormat="1" applyFont="1" applyFill="1" applyBorder="1"/>
    <xf numFmtId="3" fontId="15" fillId="0" borderId="137" xfId="2" applyNumberFormat="1" applyFont="1" applyFill="1" applyBorder="1"/>
    <xf numFmtId="3" fontId="15" fillId="0" borderId="93" xfId="2" applyNumberFormat="1" applyFont="1" applyFill="1" applyBorder="1"/>
    <xf numFmtId="164" fontId="15" fillId="0" borderId="53" xfId="0" quotePrefix="1" applyNumberFormat="1" applyFont="1" applyFill="1" applyBorder="1" applyAlignment="1">
      <alignment vertical="center"/>
    </xf>
    <xf numFmtId="164" fontId="15" fillId="0" borderId="92" xfId="0" quotePrefix="1" applyNumberFormat="1" applyFont="1" applyFill="1" applyBorder="1" applyAlignment="1">
      <alignment vertical="center"/>
    </xf>
    <xf numFmtId="3" fontId="28" fillId="0" borderId="26" xfId="2" applyNumberFormat="1" applyFont="1" applyFill="1" applyBorder="1"/>
    <xf numFmtId="3" fontId="28" fillId="0" borderId="4" xfId="2" applyNumberFormat="1" applyFont="1" applyFill="1" applyBorder="1"/>
    <xf numFmtId="164" fontId="15" fillId="0" borderId="32" xfId="0" quotePrefix="1" applyNumberFormat="1" applyFont="1" applyFill="1" applyBorder="1" applyAlignment="1">
      <alignment vertical="center"/>
    </xf>
    <xf numFmtId="3" fontId="33" fillId="0" borderId="24" xfId="2" applyNumberFormat="1" applyFont="1" applyFill="1" applyBorder="1"/>
    <xf numFmtId="164" fontId="15" fillId="0" borderId="45" xfId="0" quotePrefix="1" applyNumberFormat="1" applyFont="1" applyFill="1" applyBorder="1" applyAlignment="1">
      <alignment vertical="center"/>
    </xf>
    <xf numFmtId="164" fontId="15" fillId="0" borderId="48" xfId="0" quotePrefix="1" applyNumberFormat="1" applyFont="1" applyFill="1" applyBorder="1" applyAlignment="1">
      <alignment vertical="center"/>
    </xf>
    <xf numFmtId="164" fontId="15" fillId="0" borderId="40" xfId="0" quotePrefix="1" applyNumberFormat="1" applyFont="1" applyFill="1" applyBorder="1" applyAlignment="1">
      <alignment vertical="center"/>
    </xf>
    <xf numFmtId="3" fontId="15" fillId="0" borderId="136" xfId="2" applyNumberFormat="1" applyFont="1" applyFill="1" applyBorder="1"/>
    <xf numFmtId="3" fontId="15" fillId="0" borderId="29" xfId="2" applyNumberFormat="1" applyFont="1" applyFill="1" applyBorder="1"/>
    <xf numFmtId="164" fontId="15" fillId="0" borderId="14" xfId="0" quotePrefix="1" applyNumberFormat="1" applyFont="1" applyFill="1" applyBorder="1" applyAlignment="1">
      <alignment vertical="center"/>
    </xf>
    <xf numFmtId="164" fontId="15" fillId="0" borderId="43" xfId="0" quotePrefix="1" applyNumberFormat="1" applyFont="1" applyFill="1" applyBorder="1" applyAlignment="1">
      <alignment vertical="center"/>
    </xf>
    <xf numFmtId="164" fontId="15" fillId="0" borderId="3" xfId="0" quotePrefix="1" applyNumberFormat="1" applyFont="1" applyFill="1" applyBorder="1" applyAlignment="1">
      <alignment vertical="center"/>
    </xf>
    <xf numFmtId="3" fontId="15" fillId="0" borderId="26" xfId="2" applyNumberFormat="1" applyFont="1" applyFill="1" applyBorder="1"/>
    <xf numFmtId="3" fontId="15" fillId="0" borderId="4" xfId="2" applyNumberFormat="1" applyFont="1" applyFill="1" applyBorder="1"/>
    <xf numFmtId="164" fontId="15" fillId="0" borderId="22" xfId="0" quotePrefix="1" applyNumberFormat="1" applyFont="1" applyFill="1" applyBorder="1" applyAlignment="1">
      <alignment vertical="center"/>
    </xf>
    <xf numFmtId="167" fontId="30" fillId="0" borderId="138" xfId="0" applyNumberFormat="1" applyFont="1" applyFill="1" applyBorder="1" applyAlignment="1">
      <alignment wrapText="1"/>
    </xf>
    <xf numFmtId="167" fontId="15" fillId="0" borderId="138" xfId="0" applyNumberFormat="1" applyFont="1" applyFill="1" applyBorder="1" applyAlignment="1">
      <alignment horizontal="right" wrapText="1" indent="1"/>
    </xf>
    <xf numFmtId="167" fontId="28" fillId="0" borderId="140" xfId="0" applyNumberFormat="1" applyFont="1" applyFill="1" applyBorder="1" applyAlignment="1">
      <alignment horizontal="right" wrapText="1" indent="1"/>
    </xf>
    <xf numFmtId="167" fontId="15" fillId="0" borderId="138" xfId="0" applyNumberFormat="1" applyFont="1" applyFill="1" applyBorder="1" applyAlignment="1">
      <alignment wrapText="1"/>
    </xf>
    <xf numFmtId="0" fontId="30" fillId="0" borderId="138" xfId="0" applyFont="1" applyFill="1" applyBorder="1" applyAlignment="1">
      <alignment vertical="center" wrapText="1"/>
    </xf>
    <xf numFmtId="0" fontId="31" fillId="0" borderId="84" xfId="0" applyFont="1" applyFill="1" applyBorder="1" applyAlignment="1">
      <alignment wrapText="1"/>
    </xf>
    <xf numFmtId="0" fontId="31" fillId="0" borderId="91" xfId="0" applyFont="1" applyFill="1" applyBorder="1" applyAlignment="1">
      <alignment wrapText="1"/>
    </xf>
    <xf numFmtId="167" fontId="31" fillId="0" borderId="77" xfId="0" applyNumberFormat="1" applyFont="1" applyFill="1" applyBorder="1" applyAlignment="1">
      <alignment horizontal="right" wrapText="1" indent="1"/>
    </xf>
    <xf numFmtId="0" fontId="30" fillId="0" borderId="85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167" fontId="30" fillId="0" borderId="78" xfId="0" applyNumberFormat="1" applyFont="1" applyFill="1" applyBorder="1" applyAlignment="1">
      <alignment horizontal="right" wrapText="1" indent="1"/>
    </xf>
    <xf numFmtId="0" fontId="30" fillId="0" borderId="116" xfId="0" applyFont="1" applyFill="1" applyBorder="1" applyAlignment="1">
      <alignment wrapText="1"/>
    </xf>
    <xf numFmtId="0" fontId="30" fillId="0" borderId="117" xfId="0" applyFont="1" applyFill="1" applyBorder="1" applyAlignment="1">
      <alignment wrapText="1"/>
    </xf>
    <xf numFmtId="167" fontId="30" fillId="0" borderId="118" xfId="0" applyNumberFormat="1" applyFont="1" applyFill="1" applyBorder="1" applyAlignment="1">
      <alignment horizontal="right" wrapText="1" indent="1"/>
    </xf>
    <xf numFmtId="0" fontId="30" fillId="0" borderId="119" xfId="0" applyFont="1" applyFill="1" applyBorder="1" applyAlignment="1">
      <alignment wrapText="1"/>
    </xf>
    <xf numFmtId="0" fontId="30" fillId="0" borderId="120" xfId="0" applyFont="1" applyFill="1" applyBorder="1" applyAlignment="1">
      <alignment wrapText="1"/>
    </xf>
    <xf numFmtId="167" fontId="30" fillId="0" borderId="142" xfId="0" applyNumberFormat="1" applyFont="1" applyFill="1" applyBorder="1" applyAlignment="1">
      <alignment horizontal="right" wrapText="1" indent="1"/>
    </xf>
    <xf numFmtId="0" fontId="32" fillId="0" borderId="119" xfId="0" applyFont="1" applyFill="1" applyBorder="1" applyAlignment="1">
      <alignment wrapText="1"/>
    </xf>
    <xf numFmtId="0" fontId="32" fillId="0" borderId="120" xfId="0" applyFont="1" applyFill="1" applyBorder="1" applyAlignment="1">
      <alignment wrapText="1"/>
    </xf>
    <xf numFmtId="167" fontId="32" fillId="0" borderId="121" xfId="0" applyNumberFormat="1" applyFont="1" applyFill="1" applyBorder="1" applyAlignment="1">
      <alignment horizontal="right" wrapText="1" indent="1"/>
    </xf>
    <xf numFmtId="0" fontId="31" fillId="0" borderId="122" xfId="0" applyFont="1" applyFill="1" applyBorder="1" applyAlignment="1">
      <alignment wrapText="1"/>
    </xf>
    <xf numFmtId="0" fontId="31" fillId="0" borderId="123" xfId="0" applyFont="1" applyFill="1" applyBorder="1" applyAlignment="1">
      <alignment wrapText="1"/>
    </xf>
    <xf numFmtId="167" fontId="31" fillId="0" borderId="124" xfId="0" applyNumberFormat="1" applyFont="1" applyFill="1" applyBorder="1" applyAlignment="1">
      <alignment horizontal="right" wrapText="1" indent="1"/>
    </xf>
    <xf numFmtId="0" fontId="30" fillId="0" borderId="125" xfId="0" applyFont="1" applyFill="1" applyBorder="1" applyAlignment="1">
      <alignment wrapText="1"/>
    </xf>
    <xf numFmtId="0" fontId="32" fillId="0" borderId="126" xfId="0" applyFont="1" applyFill="1" applyBorder="1" applyAlignment="1">
      <alignment wrapText="1"/>
    </xf>
    <xf numFmtId="168" fontId="30" fillId="0" borderId="124" xfId="0" applyNumberFormat="1" applyFont="1" applyFill="1" applyBorder="1" applyAlignment="1">
      <alignment horizontal="right" wrapText="1" indent="1"/>
    </xf>
    <xf numFmtId="168" fontId="30" fillId="0" borderId="127" xfId="0" applyNumberFormat="1" applyFont="1" applyFill="1" applyBorder="1" applyAlignment="1">
      <alignment horizontal="right" wrapText="1" indent="1"/>
    </xf>
    <xf numFmtId="0" fontId="32" fillId="0" borderId="125" xfId="0" applyFont="1" applyFill="1" applyBorder="1" applyAlignment="1">
      <alignment wrapText="1"/>
    </xf>
    <xf numFmtId="167" fontId="32" fillId="0" borderId="124" xfId="0" applyNumberFormat="1" applyFont="1" applyFill="1" applyBorder="1" applyAlignment="1">
      <alignment horizontal="right" wrapText="1" indent="1"/>
    </xf>
    <xf numFmtId="0" fontId="32" fillId="0" borderId="128" xfId="0" applyFont="1" applyFill="1" applyBorder="1" applyAlignment="1">
      <alignment wrapText="1"/>
    </xf>
    <xf numFmtId="0" fontId="32" fillId="0" borderId="129" xfId="0" applyFont="1" applyFill="1" applyBorder="1" applyAlignment="1">
      <alignment wrapText="1"/>
    </xf>
    <xf numFmtId="167" fontId="32" fillId="0" borderId="130" xfId="0" applyNumberFormat="1" applyFont="1" applyFill="1" applyBorder="1" applyAlignment="1">
      <alignment horizontal="right" wrapText="1" indent="1"/>
    </xf>
    <xf numFmtId="0" fontId="31" fillId="0" borderId="82" xfId="0" applyFont="1" applyBorder="1" applyAlignment="1">
      <alignment vertical="center" wrapText="1"/>
    </xf>
    <xf numFmtId="167" fontId="31" fillId="0" borderId="89" xfId="0" applyNumberFormat="1" applyFont="1" applyBorder="1" applyAlignment="1">
      <alignment horizontal="left" vertical="center" wrapText="1"/>
    </xf>
    <xf numFmtId="167" fontId="31" fillId="0" borderId="82" xfId="0" applyNumberFormat="1" applyFont="1" applyBorder="1" applyAlignment="1">
      <alignment horizontal="right" wrapText="1" indent="1"/>
    </xf>
    <xf numFmtId="167" fontId="31" fillId="0" borderId="89" xfId="0" applyNumberFormat="1" applyFont="1" applyBorder="1" applyAlignment="1">
      <alignment horizontal="right" wrapText="1" indent="1"/>
    </xf>
    <xf numFmtId="167" fontId="30" fillId="0" borderId="87" xfId="0" applyNumberFormat="1" applyFont="1" applyBorder="1" applyAlignment="1">
      <alignment horizontal="left" vertical="center" wrapText="1"/>
    </xf>
    <xf numFmtId="167" fontId="30" fillId="0" borderId="80" xfId="0" applyNumberFormat="1" applyFont="1" applyBorder="1" applyAlignment="1">
      <alignment horizontal="right" wrapText="1" indent="1"/>
    </xf>
    <xf numFmtId="167" fontId="30" fillId="0" borderId="87" xfId="0" applyNumberFormat="1" applyFont="1" applyBorder="1" applyAlignment="1">
      <alignment horizontal="right" wrapText="1" indent="1"/>
    </xf>
    <xf numFmtId="167" fontId="30" fillId="0" borderId="87" xfId="0" applyNumberFormat="1" applyFont="1" applyBorder="1" applyAlignment="1">
      <alignment horizontal="left" wrapText="1"/>
    </xf>
    <xf numFmtId="167" fontId="31" fillId="0" borderId="78" xfId="0" applyNumberFormat="1" applyFont="1" applyBorder="1" applyAlignment="1">
      <alignment horizontal="right" wrapText="1" indent="1"/>
    </xf>
    <xf numFmtId="167" fontId="31" fillId="0" borderId="145" xfId="0" applyNumberFormat="1" applyFont="1" applyBorder="1" applyAlignment="1">
      <alignment horizontal="right" wrapText="1" indent="1"/>
    </xf>
    <xf numFmtId="167" fontId="31" fillId="0" borderId="82" xfId="0" applyNumberFormat="1" applyFont="1" applyBorder="1" applyAlignment="1">
      <alignment horizontal="left" vertical="center" wrapText="1"/>
    </xf>
    <xf numFmtId="0" fontId="31" fillId="0" borderId="78" xfId="0" applyFont="1" applyBorder="1" applyAlignment="1">
      <alignment vertical="center" wrapText="1"/>
    </xf>
    <xf numFmtId="167" fontId="31" fillId="0" borderId="145" xfId="0" applyNumberFormat="1" applyFont="1" applyBorder="1" applyAlignment="1">
      <alignment vertical="center" wrapText="1"/>
    </xf>
    <xf numFmtId="167" fontId="31" fillId="0" borderId="77" xfId="0" applyNumberFormat="1" applyFont="1" applyBorder="1" applyAlignment="1">
      <alignment horizontal="right" wrapText="1" indent="1"/>
    </xf>
    <xf numFmtId="167" fontId="31" fillId="0" borderId="146" xfId="0" applyNumberFormat="1" applyFont="1" applyBorder="1" applyAlignment="1">
      <alignment horizontal="right" wrapText="1" indent="1"/>
    </xf>
    <xf numFmtId="167" fontId="30" fillId="0" borderId="131" xfId="0" applyNumberFormat="1" applyFont="1" applyBorder="1" applyAlignment="1">
      <alignment vertical="center" wrapText="1"/>
    </xf>
    <xf numFmtId="167" fontId="30" fillId="0" borderId="115" xfId="0" applyNumberFormat="1" applyFont="1" applyBorder="1" applyAlignment="1">
      <alignment horizontal="right" wrapText="1" indent="1"/>
    </xf>
    <xf numFmtId="167" fontId="30" fillId="0" borderId="131" xfId="0" applyNumberFormat="1" applyFont="1" applyBorder="1" applyAlignment="1">
      <alignment horizontal="right" wrapText="1" indent="1"/>
    </xf>
    <xf numFmtId="167" fontId="30" fillId="0" borderId="147" xfId="0" applyNumberFormat="1" applyFont="1" applyBorder="1" applyAlignment="1">
      <alignment horizontal="right" wrapText="1" indent="1"/>
    </xf>
    <xf numFmtId="167" fontId="30" fillId="0" borderId="87" xfId="0" applyNumberFormat="1" applyFont="1" applyBorder="1" applyAlignment="1">
      <alignment wrapText="1"/>
    </xf>
    <xf numFmtId="167" fontId="31" fillId="0" borderId="79" xfId="0" applyNumberFormat="1" applyFont="1" applyBorder="1" applyAlignment="1">
      <alignment horizontal="right" wrapText="1" indent="1"/>
    </xf>
    <xf numFmtId="167" fontId="20" fillId="0" borderId="90" xfId="0" applyNumberFormat="1" applyFont="1" applyBorder="1" applyAlignment="1">
      <alignment horizontal="right" wrapText="1" indent="1"/>
    </xf>
    <xf numFmtId="0" fontId="30" fillId="0" borderId="0" xfId="16" applyFont="1" applyAlignment="1">
      <alignment horizontal="right"/>
    </xf>
    <xf numFmtId="0" fontId="15" fillId="0" borderId="0" xfId="16" applyFont="1" applyFill="1" applyBorder="1" applyAlignment="1">
      <alignment horizontal="right" vertical="center" wrapText="1"/>
    </xf>
    <xf numFmtId="167" fontId="31" fillId="0" borderId="90" xfId="0" applyNumberFormat="1" applyFont="1" applyBorder="1" applyAlignment="1">
      <alignment horizontal="right" wrapText="1" indent="1"/>
    </xf>
    <xf numFmtId="167" fontId="31" fillId="0" borderId="148" xfId="0" applyNumberFormat="1" applyFont="1" applyBorder="1" applyAlignment="1">
      <alignment horizontal="right" wrapText="1" indent="1"/>
    </xf>
    <xf numFmtId="167" fontId="31" fillId="0" borderId="82" xfId="0" applyNumberFormat="1" applyFont="1" applyBorder="1" applyAlignment="1">
      <alignment wrapText="1"/>
    </xf>
    <xf numFmtId="0" fontId="31" fillId="0" borderId="80" xfId="0" applyFont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167" fontId="31" fillId="0" borderId="15" xfId="0" applyNumberFormat="1" applyFont="1" applyFill="1" applyBorder="1" applyAlignment="1">
      <alignment wrapText="1"/>
    </xf>
    <xf numFmtId="167" fontId="28" fillId="0" borderId="15" xfId="0" applyNumberFormat="1" applyFont="1" applyFill="1" applyBorder="1" applyAlignment="1">
      <alignment horizontal="right" wrapText="1" indent="1"/>
    </xf>
    <xf numFmtId="167" fontId="30" fillId="0" borderId="149" xfId="0" applyNumberFormat="1" applyFont="1" applyFill="1" applyBorder="1" applyAlignment="1">
      <alignment wrapText="1"/>
    </xf>
    <xf numFmtId="167" fontId="15" fillId="0" borderId="149" xfId="0" applyNumberFormat="1" applyFont="1" applyFill="1" applyBorder="1" applyAlignment="1">
      <alignment horizontal="right" wrapText="1" indent="1"/>
    </xf>
    <xf numFmtId="0" fontId="31" fillId="0" borderId="150" xfId="0" applyFont="1" applyFill="1" applyBorder="1" applyAlignment="1">
      <alignment vertical="center" wrapText="1"/>
    </xf>
    <xf numFmtId="167" fontId="31" fillId="0" borderId="150" xfId="0" applyNumberFormat="1" applyFont="1" applyFill="1" applyBorder="1" applyAlignment="1">
      <alignment wrapText="1"/>
    </xf>
    <xf numFmtId="167" fontId="28" fillId="0" borderId="150" xfId="0" applyNumberFormat="1" applyFont="1" applyFill="1" applyBorder="1" applyAlignment="1">
      <alignment horizontal="right" wrapText="1" indent="1"/>
    </xf>
    <xf numFmtId="0" fontId="31" fillId="0" borderId="10" xfId="0" applyFont="1" applyFill="1" applyBorder="1" applyAlignment="1">
      <alignment vertical="center" wrapText="1"/>
    </xf>
    <xf numFmtId="167" fontId="31" fillId="0" borderId="10" xfId="0" applyNumberFormat="1" applyFont="1" applyFill="1" applyBorder="1" applyAlignment="1">
      <alignment wrapText="1"/>
    </xf>
    <xf numFmtId="167" fontId="28" fillId="0" borderId="10" xfId="0" applyNumberFormat="1" applyFont="1" applyFill="1" applyBorder="1" applyAlignment="1">
      <alignment horizontal="right" wrapText="1" indent="1"/>
    </xf>
    <xf numFmtId="0" fontId="20" fillId="0" borderId="82" xfId="15" applyFont="1" applyFill="1" applyBorder="1" applyAlignment="1">
      <alignment horizontal="center" vertical="center" wrapText="1"/>
    </xf>
    <xf numFmtId="167" fontId="19" fillId="0" borderId="82" xfId="15" applyNumberFormat="1" applyFont="1" applyFill="1" applyBorder="1" applyAlignment="1">
      <alignment horizontal="center" vertical="center" wrapText="1"/>
    </xf>
    <xf numFmtId="167" fontId="19" fillId="0" borderId="140" xfId="0" applyNumberFormat="1" applyFont="1" applyFill="1" applyBorder="1" applyAlignment="1">
      <alignment horizontal="right" wrapText="1" indent="1"/>
    </xf>
    <xf numFmtId="0" fontId="28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3" fontId="15" fillId="0" borderId="6" xfId="0" quotePrefix="1" applyNumberFormat="1" applyFont="1" applyFill="1" applyBorder="1" applyAlignment="1">
      <alignment vertical="center"/>
    </xf>
    <xf numFmtId="3" fontId="15" fillId="0" borderId="9" xfId="0" quotePrefix="1" applyNumberFormat="1" applyFont="1" applyFill="1" applyBorder="1" applyAlignment="1">
      <alignment vertical="center"/>
    </xf>
    <xf numFmtId="164" fontId="15" fillId="0" borderId="41" xfId="0" quotePrefix="1" applyNumberFormat="1" applyFont="1" applyFill="1" applyBorder="1" applyAlignment="1">
      <alignment vertical="center"/>
    </xf>
    <xf numFmtId="3" fontId="15" fillId="0" borderId="27" xfId="0" quotePrefix="1" applyNumberFormat="1" applyFont="1" applyFill="1" applyBorder="1" applyAlignment="1">
      <alignment vertical="center"/>
    </xf>
    <xf numFmtId="164" fontId="15" fillId="0" borderId="18" xfId="0" quotePrefix="1" applyNumberFormat="1" applyFont="1" applyFill="1" applyBorder="1" applyAlignment="1">
      <alignment vertical="center"/>
    </xf>
    <xf numFmtId="3" fontId="15" fillId="0" borderId="20" xfId="0" quotePrefix="1" applyNumberFormat="1" applyFont="1" applyFill="1" applyBorder="1" applyAlignment="1">
      <alignment vertical="center"/>
    </xf>
    <xf numFmtId="164" fontId="28" fillId="0" borderId="28" xfId="0" quotePrefix="1" applyNumberFormat="1" applyFont="1" applyFill="1" applyBorder="1" applyAlignment="1">
      <alignment vertical="center"/>
    </xf>
    <xf numFmtId="3" fontId="28" fillId="0" borderId="24" xfId="0" applyNumberFormat="1" applyFont="1" applyFill="1" applyBorder="1" applyAlignment="1">
      <alignment vertical="center"/>
    </xf>
    <xf numFmtId="3" fontId="15" fillId="0" borderId="8" xfId="0" quotePrefix="1" applyNumberFormat="1" applyFont="1" applyFill="1" applyBorder="1" applyAlignment="1">
      <alignment vertical="center"/>
    </xf>
    <xf numFmtId="3" fontId="15" fillId="0" borderId="14" xfId="0" quotePrefix="1" applyNumberFormat="1" applyFont="1" applyFill="1" applyBorder="1" applyAlignment="1">
      <alignment vertical="center"/>
    </xf>
    <xf numFmtId="3" fontId="15" fillId="0" borderId="17" xfId="0" quotePrefix="1" applyNumberFormat="1" applyFont="1" applyFill="1" applyBorder="1" applyAlignment="1">
      <alignment vertical="center"/>
    </xf>
    <xf numFmtId="164" fontId="15" fillId="0" borderId="17" xfId="0" quotePrefix="1" applyNumberFormat="1" applyFont="1" applyFill="1" applyBorder="1" applyAlignment="1">
      <alignment vertical="center"/>
    </xf>
    <xf numFmtId="3" fontId="15" fillId="0" borderId="19" xfId="0" quotePrefix="1" applyNumberFormat="1" applyFont="1" applyFill="1" applyBorder="1" applyAlignment="1">
      <alignment vertical="center"/>
    </xf>
    <xf numFmtId="164" fontId="28" fillId="0" borderId="6" xfId="0" quotePrefix="1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center"/>
    </xf>
    <xf numFmtId="0" fontId="15" fillId="0" borderId="26" xfId="0" applyFont="1" applyFill="1" applyBorder="1" applyAlignment="1">
      <alignment horizontal="center" vertical="center" wrapText="1"/>
    </xf>
    <xf numFmtId="164" fontId="15" fillId="0" borderId="10" xfId="0" quotePrefix="1" applyNumberFormat="1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164" fontId="15" fillId="0" borderId="15" xfId="0" quotePrefix="1" applyNumberFormat="1" applyFont="1" applyFill="1" applyBorder="1" applyAlignment="1">
      <alignment vertical="center"/>
    </xf>
    <xf numFmtId="3" fontId="15" fillId="0" borderId="29" xfId="0" quotePrefix="1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164" fontId="15" fillId="0" borderId="39" xfId="0" quotePrefix="1" applyNumberFormat="1" applyFont="1" applyFill="1" applyBorder="1" applyAlignment="1">
      <alignment vertical="center"/>
    </xf>
    <xf numFmtId="3" fontId="15" fillId="0" borderId="65" xfId="0" quotePrefix="1" applyNumberFormat="1" applyFont="1" applyFill="1" applyBorder="1" applyAlignment="1">
      <alignment vertical="center"/>
    </xf>
    <xf numFmtId="3" fontId="15" fillId="0" borderId="10" xfId="0" applyNumberFormat="1" applyFont="1" applyFill="1" applyBorder="1" applyAlignment="1">
      <alignment vertical="center"/>
    </xf>
    <xf numFmtId="3" fontId="15" fillId="0" borderId="49" xfId="0" quotePrefix="1" applyNumberFormat="1" applyFont="1" applyFill="1" applyBorder="1" applyAlignment="1">
      <alignment vertical="center"/>
    </xf>
    <xf numFmtId="3" fontId="28" fillId="0" borderId="24" xfId="0" quotePrefix="1" applyNumberFormat="1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3" fontId="15" fillId="0" borderId="41" xfId="0" quotePrefix="1" applyNumberFormat="1" applyFont="1" applyFill="1" applyBorder="1" applyAlignment="1">
      <alignment vertical="center"/>
    </xf>
    <xf numFmtId="165" fontId="15" fillId="0" borderId="0" xfId="0" quotePrefix="1" applyNumberFormat="1" applyFont="1" applyFill="1" applyBorder="1" applyAlignment="1">
      <alignment vertical="center"/>
    </xf>
    <xf numFmtId="165" fontId="15" fillId="0" borderId="27" xfId="0" quotePrefix="1" applyNumberFormat="1" applyFont="1" applyFill="1" applyBorder="1" applyAlignment="1">
      <alignment vertical="center"/>
    </xf>
    <xf numFmtId="3" fontId="15" fillId="0" borderId="25" xfId="0" applyNumberFormat="1" applyFont="1" applyFill="1" applyBorder="1" applyAlignment="1">
      <alignment horizontal="right" vertical="center"/>
    </xf>
    <xf numFmtId="0" fontId="28" fillId="0" borderId="0" xfId="0" applyFont="1" applyFill="1" applyAlignment="1">
      <alignment horizontal="center" vertical="center"/>
    </xf>
    <xf numFmtId="3" fontId="15" fillId="0" borderId="0" xfId="0" applyNumberFormat="1" applyFont="1" applyFill="1"/>
    <xf numFmtId="0" fontId="2" fillId="0" borderId="0" xfId="16" applyFont="1" applyAlignment="1">
      <alignment horizontal="right" wrapText="1"/>
    </xf>
    <xf numFmtId="0" fontId="2" fillId="0" borderId="0" xfId="16" applyFont="1" applyAlignment="1">
      <alignment horizontal="right"/>
    </xf>
    <xf numFmtId="0" fontId="15" fillId="0" borderId="5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3" fontId="28" fillId="0" borderId="2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3" fontId="15" fillId="0" borderId="3" xfId="0" quotePrefix="1" applyNumberFormat="1" applyFont="1" applyFill="1" applyBorder="1" applyAlignment="1">
      <alignment vertical="center"/>
    </xf>
    <xf numFmtId="3" fontId="15" fillId="0" borderId="4" xfId="0" quotePrefix="1" applyNumberFormat="1" applyFont="1" applyFill="1" applyBorder="1" applyAlignment="1">
      <alignment vertical="center"/>
    </xf>
    <xf numFmtId="164" fontId="28" fillId="0" borderId="151" xfId="0" quotePrefix="1" applyNumberFormat="1" applyFont="1" applyFill="1" applyBorder="1" applyAlignment="1">
      <alignment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vertical="center"/>
    </xf>
    <xf numFmtId="0" fontId="15" fillId="0" borderId="16" xfId="1" applyFont="1" applyFill="1" applyBorder="1" applyAlignment="1">
      <alignment vertical="center"/>
    </xf>
    <xf numFmtId="3" fontId="15" fillId="0" borderId="21" xfId="1" applyNumberFormat="1" applyFont="1" applyFill="1" applyBorder="1" applyAlignment="1">
      <alignment vertical="center"/>
    </xf>
    <xf numFmtId="49" fontId="15" fillId="0" borderId="58" xfId="7" applyNumberFormat="1" applyFont="1" applyFill="1" applyBorder="1" applyAlignment="1">
      <alignment horizontal="center" vertical="center" wrapText="1"/>
    </xf>
    <xf numFmtId="167" fontId="26" fillId="0" borderId="140" xfId="0" applyNumberFormat="1" applyFont="1" applyFill="1" applyBorder="1" applyAlignment="1">
      <alignment horizontal="right" vertical="center" wrapText="1"/>
    </xf>
    <xf numFmtId="0" fontId="15" fillId="0" borderId="42" xfId="3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5" fillId="0" borderId="0" xfId="4" applyFont="1" applyFill="1" applyAlignment="1">
      <alignment vertical="center" wrapText="1"/>
    </xf>
    <xf numFmtId="0" fontId="15" fillId="0" borderId="0" xfId="3" applyFont="1" applyFill="1" applyAlignment="1">
      <alignment vertical="center" wrapText="1"/>
    </xf>
    <xf numFmtId="0" fontId="28" fillId="0" borderId="0" xfId="3" applyFont="1" applyFill="1" applyAlignment="1">
      <alignment horizontal="center" vertical="center" wrapText="1"/>
    </xf>
    <xf numFmtId="0" fontId="15" fillId="0" borderId="56" xfId="7" applyFont="1" applyFill="1" applyBorder="1" applyAlignment="1">
      <alignment horizontal="center" vertical="center"/>
    </xf>
    <xf numFmtId="0" fontId="15" fillId="0" borderId="25" xfId="7" applyFont="1" applyFill="1" applyBorder="1" applyAlignment="1">
      <alignment horizontal="center" vertical="center"/>
    </xf>
    <xf numFmtId="0" fontId="15" fillId="0" borderId="44" xfId="7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center" vertical="center"/>
    </xf>
    <xf numFmtId="0" fontId="15" fillId="0" borderId="59" xfId="7" applyFont="1" applyFill="1" applyBorder="1" applyAlignment="1">
      <alignment horizontal="center" vertical="center"/>
    </xf>
    <xf numFmtId="0" fontId="15" fillId="0" borderId="46" xfId="7" applyFont="1" applyFill="1" applyBorder="1" applyAlignment="1">
      <alignment horizontal="center" vertical="center"/>
    </xf>
    <xf numFmtId="0" fontId="15" fillId="0" borderId="57" xfId="7" applyFont="1" applyFill="1" applyBorder="1" applyAlignment="1">
      <alignment horizontal="center" vertical="center"/>
    </xf>
    <xf numFmtId="0" fontId="15" fillId="0" borderId="43" xfId="7" applyFont="1" applyFill="1" applyBorder="1" applyAlignment="1">
      <alignment horizontal="center" vertical="center"/>
    </xf>
    <xf numFmtId="0" fontId="15" fillId="0" borderId="48" xfId="7" applyFont="1" applyFill="1" applyBorder="1" applyAlignment="1">
      <alignment horizontal="center" vertical="center"/>
    </xf>
    <xf numFmtId="0" fontId="26" fillId="0" borderId="0" xfId="7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26" fillId="0" borderId="0" xfId="2" applyFont="1" applyAlignment="1">
      <alignment horizontal="center"/>
    </xf>
    <xf numFmtId="0" fontId="26" fillId="0" borderId="0" xfId="16" applyFont="1" applyFill="1" applyBorder="1" applyAlignment="1">
      <alignment horizontal="center" vertical="center" wrapText="1"/>
    </xf>
    <xf numFmtId="0" fontId="19" fillId="0" borderId="77" xfId="16" applyFont="1" applyFill="1" applyBorder="1" applyAlignment="1">
      <alignment horizontal="center" vertical="center" wrapText="1"/>
    </xf>
    <xf numFmtId="0" fontId="19" fillId="0" borderId="78" xfId="16" applyFont="1" applyFill="1" applyBorder="1" applyAlignment="1">
      <alignment horizontal="center" vertical="center" wrapText="1"/>
    </xf>
    <xf numFmtId="0" fontId="19" fillId="0" borderId="79" xfId="16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vertical="center" wrapText="1"/>
    </xf>
    <xf numFmtId="0" fontId="30" fillId="0" borderId="138" xfId="0" applyFont="1" applyFill="1" applyBorder="1" applyAlignment="1">
      <alignment vertical="center" wrapText="1"/>
    </xf>
    <xf numFmtId="0" fontId="31" fillId="0" borderId="139" xfId="0" applyFont="1" applyFill="1" applyBorder="1" applyAlignment="1">
      <alignment wrapText="1"/>
    </xf>
    <xf numFmtId="0" fontId="30" fillId="0" borderId="141" xfId="0" applyFont="1" applyFill="1" applyBorder="1" applyAlignment="1">
      <alignment vertical="center" wrapText="1"/>
    </xf>
    <xf numFmtId="0" fontId="29" fillId="0" borderId="139" xfId="0" applyFont="1" applyFill="1" applyBorder="1" applyAlignment="1">
      <alignment vertical="center" wrapText="1"/>
    </xf>
    <xf numFmtId="0" fontId="20" fillId="0" borderId="0" xfId="16" applyFont="1" applyAlignment="1">
      <alignment horizontal="center" wrapText="1"/>
    </xf>
    <xf numFmtId="0" fontId="3" fillId="0" borderId="86" xfId="16" applyFont="1" applyBorder="1" applyAlignment="1">
      <alignment wrapText="1"/>
    </xf>
    <xf numFmtId="0" fontId="20" fillId="0" borderId="77" xfId="16" applyFont="1" applyBorder="1" applyAlignment="1">
      <alignment horizontal="center" vertical="center" wrapText="1"/>
    </xf>
    <xf numFmtId="0" fontId="20" fillId="0" borderId="78" xfId="16" applyFont="1" applyBorder="1" applyAlignment="1">
      <alignment horizontal="center" vertical="center" wrapText="1"/>
    </xf>
    <xf numFmtId="0" fontId="20" fillId="0" borderId="79" xfId="16" applyFont="1" applyBorder="1" applyAlignment="1">
      <alignment horizontal="center" vertical="center" wrapText="1"/>
    </xf>
    <xf numFmtId="0" fontId="30" fillId="0" borderId="77" xfId="0" applyFont="1" applyBorder="1" applyAlignment="1">
      <alignment horizontal="left" vertical="center" wrapText="1"/>
    </xf>
    <xf numFmtId="0" fontId="30" fillId="0" borderId="80" xfId="0" applyFont="1" applyBorder="1" applyAlignment="1">
      <alignment horizontal="left" vertical="center" wrapText="1"/>
    </xf>
    <xf numFmtId="0" fontId="31" fillId="0" borderId="143" xfId="0" applyFont="1" applyBorder="1" applyAlignment="1">
      <alignment wrapText="1"/>
    </xf>
    <xf numFmtId="0" fontId="31" fillId="0" borderId="144" xfId="0" applyFont="1" applyBorder="1" applyAlignment="1">
      <alignment wrapText="1"/>
    </xf>
    <xf numFmtId="0" fontId="31" fillId="0" borderId="83" xfId="0" applyFont="1" applyBorder="1" applyAlignment="1">
      <alignment wrapText="1"/>
    </xf>
    <xf numFmtId="0" fontId="31" fillId="0" borderId="88" xfId="0" applyFont="1" applyBorder="1" applyAlignment="1">
      <alignment wrapText="1"/>
    </xf>
    <xf numFmtId="0" fontId="20" fillId="0" borderId="81" xfId="0" applyFont="1" applyBorder="1" applyAlignment="1">
      <alignment wrapText="1"/>
    </xf>
    <xf numFmtId="0" fontId="20" fillId="0" borderId="89" xfId="0" applyFont="1" applyBorder="1" applyAlignment="1">
      <alignment wrapText="1"/>
    </xf>
    <xf numFmtId="0" fontId="29" fillId="0" borderId="0" xfId="16" applyFont="1" applyAlignment="1">
      <alignment horizontal="center" wrapText="1"/>
    </xf>
    <xf numFmtId="0" fontId="31" fillId="0" borderId="81" xfId="0" applyFont="1" applyBorder="1" applyAlignment="1">
      <alignment wrapText="1"/>
    </xf>
    <xf numFmtId="0" fontId="31" fillId="0" borderId="89" xfId="0" applyFont="1" applyBorder="1" applyAlignment="1">
      <alignment wrapText="1"/>
    </xf>
    <xf numFmtId="0" fontId="30" fillId="0" borderId="77" xfId="0" applyFont="1" applyBorder="1" applyAlignment="1">
      <alignment vertical="center" wrapText="1"/>
    </xf>
    <xf numFmtId="0" fontId="30" fillId="0" borderId="80" xfId="0" applyFont="1" applyBorder="1" applyAlignment="1">
      <alignment vertical="center" wrapText="1"/>
    </xf>
    <xf numFmtId="0" fontId="30" fillId="0" borderId="78" xfId="0" applyFont="1" applyBorder="1" applyAlignment="1">
      <alignment horizontal="left" vertical="center" wrapText="1"/>
    </xf>
    <xf numFmtId="0" fontId="30" fillId="0" borderId="78" xfId="0" applyFont="1" applyBorder="1" applyAlignment="1">
      <alignment vertical="center" wrapText="1"/>
    </xf>
    <xf numFmtId="0" fontId="26" fillId="0" borderId="0" xfId="15" applyFont="1" applyAlignment="1">
      <alignment horizontal="center" vertical="center" wrapText="1"/>
    </xf>
    <xf numFmtId="0" fontId="17" fillId="0" borderId="86" xfId="15" applyFont="1" applyBorder="1" applyAlignment="1">
      <alignment wrapText="1"/>
    </xf>
    <xf numFmtId="0" fontId="30" fillId="0" borderId="41" xfId="0" applyFont="1" applyFill="1" applyBorder="1" applyAlignment="1">
      <alignment horizontal="left" vertical="center" wrapText="1"/>
    </xf>
    <xf numFmtId="0" fontId="30" fillId="0" borderId="138" xfId="0" applyFont="1" applyFill="1" applyBorder="1" applyAlignment="1">
      <alignment horizontal="left" vertical="center" wrapText="1"/>
    </xf>
    <xf numFmtId="0" fontId="30" fillId="0" borderId="141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20" fillId="0" borderId="139" xfId="0" applyFont="1" applyFill="1" applyBorder="1" applyAlignment="1">
      <alignment wrapText="1"/>
    </xf>
    <xf numFmtId="0" fontId="30" fillId="0" borderId="41" xfId="0" applyFont="1" applyFill="1" applyBorder="1" applyAlignment="1">
      <alignment horizontal="left" vertical="center"/>
    </xf>
    <xf numFmtId="0" fontId="30" fillId="0" borderId="138" xfId="0" applyFont="1" applyFill="1" applyBorder="1" applyAlignment="1">
      <alignment horizontal="left" vertical="center"/>
    </xf>
    <xf numFmtId="0" fontId="14" fillId="0" borderId="0" xfId="10" applyFont="1" applyFill="1" applyAlignment="1">
      <alignment horizontal="center"/>
    </xf>
  </cellXfs>
  <cellStyles count="27">
    <cellStyle name="Čárka 2" xfId="6"/>
    <cellStyle name="Čárka 2 2" xfId="20"/>
    <cellStyle name="Čárka 3" xfId="18"/>
    <cellStyle name="Čárka 3 2" xfId="26"/>
    <cellStyle name="Normální" xfId="0" builtinId="0"/>
    <cellStyle name="Normální 2" xfId="5"/>
    <cellStyle name="Normální 2 2" xfId="19"/>
    <cellStyle name="Normální 3" xfId="12"/>
    <cellStyle name="Normální 3 2" xfId="13"/>
    <cellStyle name="Normální 3 2 2" xfId="16"/>
    <cellStyle name="Normální 3 2 2 2" xfId="24"/>
    <cellStyle name="Normální 3 2 3" xfId="22"/>
    <cellStyle name="Normální 3 3" xfId="21"/>
    <cellStyle name="Normální 4" xfId="14"/>
    <cellStyle name="Normální 5" xfId="15"/>
    <cellStyle name="Normální 5 2" xfId="23"/>
    <cellStyle name="Normální 6" xfId="17"/>
    <cellStyle name="Normální 6 2" xfId="25"/>
    <cellStyle name="normální_344 ÚPV Hejný NR 2012" xfId="9"/>
    <cellStyle name="normální_bilance I výhledu 2009-2012 dle kapitol" xfId="1"/>
    <cellStyle name="normální_bilance jednoduchá" xfId="11"/>
    <cellStyle name="normální_Formulář 2 6 - předáno 12 10 2007 (3)" xfId="7"/>
    <cellStyle name="normální_LIMITY-Kapitoly-2010-2013-duben-2010" xfId="4"/>
    <cellStyle name="normální_LIMITY-Kapitoly-2015-2017-výhled-propoj" xfId="3"/>
    <cellStyle name="normální_Tabulka k sociálním mandatorním výdajům - podle kapitol- aktualizace 28 5 2014" xfId="2"/>
    <cellStyle name="normální_Vyhled_04_06_SFZP" xfId="10"/>
    <cellStyle name="normální_Vzor RO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10FS01\Users\Dokumenty\E_DATA\2001%20pr&#367;b&#283;h\Pril%204%20SR%2020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akesk\LOCALS~1\Temp\Pril.c.4-2003%20(6.9.200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2006/Parlament/Schv&#225;len&#253;%20MF%2003%20SR-2006-p&#345;&#237;loha%204%20z&#225;kona(9.12)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Plocha\Z%20U\ROK%2099\III.%20Q%201999\sestavy%205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:\WINDOWS\TEMP\odd14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kumenty\E_DATA\2001%20pr&#367;b&#283;h\Pril%204%20SR%20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V:\Dokumenty\E_DATA\2001%20pr&#367;b&#283;h\Pril%204%20SR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odd14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E_DATA/2001%20pr&#367;b&#283;h/Pril%204%20SR%20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kumenty\2006\Parlament\Schv&#225;len&#253;%20MF%2003%20SR-2006-p&#345;&#237;loha%204%20z&#225;kona(9.12)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:\Dokumenty\2006\Parlament\Schv&#225;len&#253;%20MF%2003%20SR-2006-p&#345;&#237;loha%204%20z&#225;kona(9.12)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Z&#218;%202000\I.%20&#269;tvrtlet&#237;\sestavy%205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3-MPSV"/>
      <sheetName val="314-MV"/>
      <sheetName val="315-MŽP"/>
      <sheetName val="317-MMR"/>
      <sheetName val="321-GA"/>
      <sheetName val="322-MPO"/>
      <sheetName val="327-MDS"/>
      <sheetName val="328-ČTÚ"/>
      <sheetName val="329-MZe"/>
      <sheetName val="333-MŠMT"/>
      <sheetName val="334-MK"/>
      <sheetName val="335-MZd"/>
      <sheetName val="336-MSp"/>
      <sheetName val="341-ÚVIS"/>
      <sheetName val="343-ÚOOÚ"/>
      <sheetName val="344-ÚPV"/>
      <sheetName val="345-ČSÚ"/>
      <sheetName val="346-ČÚZK"/>
      <sheetName val="347-KCP"/>
      <sheetName val="348-ČBÚ"/>
      <sheetName val="353-ÚOHS"/>
      <sheetName val="358-ÚS"/>
      <sheetName val="361-AV"/>
      <sheetName val="372-RRTV"/>
      <sheetName val="374-SSHR"/>
      <sheetName val="375-SÚJB"/>
      <sheetName val="380-OÚ"/>
      <sheetName val="380BE"/>
      <sheetName val="380BI"/>
      <sheetName val="380BK"/>
      <sheetName val="380BN"/>
      <sheetName val="380BR"/>
      <sheetName val="380BV"/>
      <sheetName val="380CB"/>
      <sheetName val="380CH"/>
      <sheetName val="380CK"/>
      <sheetName val="380CL"/>
      <sheetName val="380CR"/>
      <sheetName val="380CV"/>
      <sheetName val="380DC"/>
      <sheetName val="380DO"/>
      <sheetName val="380FM"/>
      <sheetName val="380HB"/>
      <sheetName val="380HK"/>
      <sheetName val="380HO"/>
      <sheetName val="380JC"/>
      <sheetName val="380JE"/>
      <sheetName val="380JH"/>
      <sheetName val="380JI"/>
      <sheetName val="380JN"/>
      <sheetName val="380KD"/>
      <sheetName val="380KH"/>
      <sheetName val="380KI"/>
      <sheetName val="380KM"/>
      <sheetName val="380KO"/>
      <sheetName val="380KT"/>
      <sheetName val="380KV"/>
      <sheetName val="380LI"/>
      <sheetName val="380LN"/>
      <sheetName val="380LT"/>
      <sheetName val="380MB"/>
      <sheetName val="380ME"/>
      <sheetName val="380MO"/>
      <sheetName val="380NA"/>
      <sheetName val="380NB"/>
      <sheetName val="380NJ"/>
      <sheetName val="380OC"/>
      <sheetName val="380OP"/>
      <sheetName val="380PB"/>
      <sheetName val="380PE"/>
      <sheetName val="380PI"/>
      <sheetName val="380PJ"/>
      <sheetName val="380PR"/>
      <sheetName val="380PS"/>
      <sheetName val="380PT"/>
      <sheetName val="380PU"/>
      <sheetName val="380PV"/>
      <sheetName val="380PY"/>
      <sheetName val="380PZ"/>
      <sheetName val="380RA"/>
      <sheetName val="380RK"/>
      <sheetName val="380RO"/>
      <sheetName val="380SM"/>
      <sheetName val="380SO"/>
      <sheetName val="380ST"/>
      <sheetName val="380SU"/>
      <sheetName val="380SY"/>
      <sheetName val="380TA"/>
      <sheetName val="380TC"/>
      <sheetName val="380TP"/>
      <sheetName val="380TR"/>
      <sheetName val="380TU"/>
      <sheetName val="380UH"/>
      <sheetName val="380UL"/>
      <sheetName val="380UO"/>
      <sheetName val="380VS"/>
      <sheetName val="380VY"/>
      <sheetName val="380ZL"/>
      <sheetName val="380ZN"/>
      <sheetName val="380ZR"/>
      <sheetName val="381-NKÚ"/>
      <sheetName val="396-SD"/>
      <sheetName val="397-SFA"/>
      <sheetName val="398-VPS"/>
      <sheetName val="301_KPR"/>
      <sheetName val="SOUHRN 314"/>
      <sheetName val="314020"/>
      <sheetName val="314030"/>
      <sheetName val="314040"/>
      <sheetName val="314050"/>
      <sheetName val="314060"/>
      <sheetName val="314070"/>
      <sheetName val="314120"/>
      <sheetName val="314130"/>
      <sheetName val="314140"/>
      <sheetName val="314210"/>
      <sheetName val="314310"/>
      <sheetName val="314610"/>
      <sheetName val="314620"/>
      <sheetName val="Poznámky"/>
      <sheetName val="List1"/>
      <sheetName val="List3"/>
      <sheetName val="SOUHRN_314"/>
      <sheetName val="314Poz_Boris"/>
      <sheetName val="ISPROFIN_314"/>
      <sheetName val="ISPROFIN 2003_314"/>
      <sheetName val="314 volné 1"/>
      <sheetName val="214 volné 2"/>
      <sheetName val="214 názvy prg"/>
      <sheetName val="List2"/>
      <sheetName val="ISPROFIN 2003_SOUHRN_314"/>
      <sheetName val="REZERVA"/>
      <sheetName val="možnosti výbě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3-MPSV"/>
      <sheetName val="314-MV"/>
      <sheetName val="315-MŽP"/>
      <sheetName val="317-MMR"/>
      <sheetName val="321-GA"/>
      <sheetName val="322-MPO"/>
      <sheetName val="327-MDS"/>
      <sheetName val="328-ČTÚ"/>
      <sheetName val="329-MZe"/>
      <sheetName val="333-MŠMT"/>
      <sheetName val="334-MK"/>
      <sheetName val="335-MZd"/>
      <sheetName val="336-MSp"/>
      <sheetName val="341-ÚVIS"/>
      <sheetName val="343-ÚOOÚ"/>
      <sheetName val="344-ÚPV"/>
      <sheetName val="345-ČSÚ"/>
      <sheetName val="346-ČÚZK"/>
      <sheetName val="347-KCP"/>
      <sheetName val="348-ČBÚ"/>
      <sheetName val="349-ERÚ"/>
      <sheetName val="353-ÚOHS"/>
      <sheetName val="358-ÚS"/>
      <sheetName val="361-AV"/>
      <sheetName val="372-RRTV"/>
      <sheetName val="374-SSHR"/>
      <sheetName val="375-SÚJB"/>
      <sheetName val="381-NKÚ"/>
      <sheetName val="396-SD"/>
      <sheetName val="397-OSFA"/>
      <sheetName val="398-VP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2-MF (2)"/>
      <sheetName val="313-MPSV-1"/>
      <sheetName val="313-MPSV-1 (2)"/>
      <sheetName val="313-MPSV-2"/>
      <sheetName val="314-MV-1"/>
      <sheetName val="314-MV-2"/>
      <sheetName val="314-MV-1 (2)"/>
      <sheetName val="315-MŽP"/>
      <sheetName val="317-MMR"/>
      <sheetName val="321-GA"/>
      <sheetName val="322-MPO"/>
      <sheetName val="322-MPO (2)"/>
      <sheetName val="327-MD"/>
      <sheetName val="328-ČTÚ"/>
      <sheetName val="329-MZe"/>
      <sheetName val="333-MŠMT"/>
      <sheetName val="334-MK-1"/>
      <sheetName val="334-MK-2"/>
      <sheetName val="335-MZd"/>
      <sheetName val="336-MSp"/>
      <sheetName val="338-MI"/>
      <sheetName val="343-ÚOOÚ"/>
      <sheetName val="344-ÚPV"/>
      <sheetName val="344-ÚPV (2)"/>
      <sheetName val="345-ČSÚ"/>
      <sheetName val="346-ČÚZK"/>
      <sheetName val="347-KCP"/>
      <sheetName val="348-ČBÚ"/>
      <sheetName val="349-ERÚ"/>
      <sheetName val="349-ERÚ (2)"/>
      <sheetName val="353-ÚOHS"/>
      <sheetName val="358-ÚS"/>
      <sheetName val="361-AV"/>
      <sheetName val="372-RRTV"/>
      <sheetName val="374-SSHR"/>
      <sheetName val="375-SÚJB"/>
      <sheetName val="381-NKÚ"/>
      <sheetName val="396-SD"/>
      <sheetName val="397-OSFA"/>
      <sheetName val="398-VPS"/>
      <sheetName val="Zkr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áv.uk,.KPR"/>
      <sheetName val="301-KPR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3-MPSV"/>
      <sheetName val="314-MV"/>
      <sheetName val="315-MŽP"/>
      <sheetName val="317-MMR"/>
      <sheetName val="321-GA"/>
      <sheetName val="322-MPO"/>
      <sheetName val="327-MDS"/>
      <sheetName val="328-ČTÚ"/>
      <sheetName val="329-MZe"/>
      <sheetName val="333-MŠMT"/>
      <sheetName val="334-MK"/>
      <sheetName val="335-MZd"/>
      <sheetName val="336-MSp"/>
      <sheetName val="341-ÚVIS"/>
      <sheetName val="343-ÚOOÚ"/>
      <sheetName val="344-ÚPV"/>
      <sheetName val="345-ČSÚ"/>
      <sheetName val="346-ČÚZK"/>
      <sheetName val="347-KCP"/>
      <sheetName val="348-ČBÚ"/>
      <sheetName val="353-ÚOHS"/>
      <sheetName val="358-ÚS"/>
      <sheetName val="361-AV"/>
      <sheetName val="372-RRTV"/>
      <sheetName val="374-SSHR"/>
      <sheetName val="375-SÚJB"/>
      <sheetName val="380-OÚ"/>
      <sheetName val="380BE"/>
      <sheetName val="380BI"/>
      <sheetName val="380BK"/>
      <sheetName val="380BN"/>
      <sheetName val="380BR"/>
      <sheetName val="380BV"/>
      <sheetName val="380CB"/>
      <sheetName val="380CH"/>
      <sheetName val="380CK"/>
      <sheetName val="380CL"/>
      <sheetName val="380CR"/>
      <sheetName val="380CV"/>
      <sheetName val="380DC"/>
      <sheetName val="380DO"/>
      <sheetName val="380FM"/>
      <sheetName val="380HB"/>
      <sheetName val="380HK"/>
      <sheetName val="380HO"/>
      <sheetName val="380JC"/>
      <sheetName val="380JE"/>
      <sheetName val="380JH"/>
      <sheetName val="380JI"/>
      <sheetName val="380JN"/>
      <sheetName val="380KD"/>
      <sheetName val="380KH"/>
      <sheetName val="380KI"/>
      <sheetName val="380KM"/>
      <sheetName val="380KO"/>
      <sheetName val="380KT"/>
      <sheetName val="380KV"/>
      <sheetName val="380LI"/>
      <sheetName val="380LN"/>
      <sheetName val="380LT"/>
      <sheetName val="380MB"/>
      <sheetName val="380ME"/>
      <sheetName val="380MO"/>
      <sheetName val="380NA"/>
      <sheetName val="380NB"/>
      <sheetName val="380NJ"/>
      <sheetName val="380OC"/>
      <sheetName val="380OP"/>
      <sheetName val="380PB"/>
      <sheetName val="380PE"/>
      <sheetName val="380PI"/>
      <sheetName val="380PJ"/>
      <sheetName val="380PR"/>
      <sheetName val="380PS"/>
      <sheetName val="380PT"/>
      <sheetName val="380PU"/>
      <sheetName val="380PV"/>
      <sheetName val="380PY"/>
      <sheetName val="380PZ"/>
      <sheetName val="380RA"/>
      <sheetName val="380RK"/>
      <sheetName val="380RO"/>
      <sheetName val="380SM"/>
      <sheetName val="380SO"/>
      <sheetName val="380ST"/>
      <sheetName val="380SU"/>
      <sheetName val="380SY"/>
      <sheetName val="380TA"/>
      <sheetName val="380TC"/>
      <sheetName val="380TP"/>
      <sheetName val="380TR"/>
      <sheetName val="380TU"/>
      <sheetName val="380UH"/>
      <sheetName val="380UL"/>
      <sheetName val="380UO"/>
      <sheetName val="380VS"/>
      <sheetName val="380VY"/>
      <sheetName val="380ZL"/>
      <sheetName val="380ZN"/>
      <sheetName val="380ZR"/>
      <sheetName val="381-NKÚ"/>
      <sheetName val="396-SD"/>
      <sheetName val="397-SFA"/>
      <sheetName val="398-VPS"/>
      <sheetName val="301_KPR"/>
      <sheetName val="SOUHRN 314"/>
      <sheetName val="314020"/>
      <sheetName val="314030"/>
      <sheetName val="314040"/>
      <sheetName val="314050"/>
      <sheetName val="314060"/>
      <sheetName val="314070"/>
      <sheetName val="314120"/>
      <sheetName val="314130"/>
      <sheetName val="314140"/>
      <sheetName val="314210"/>
      <sheetName val="314310"/>
      <sheetName val="314610"/>
      <sheetName val="314620"/>
      <sheetName val="Poznámky"/>
      <sheetName val="List1"/>
      <sheetName val="List3"/>
      <sheetName val="SOUHRN_314"/>
      <sheetName val="314Poz_Boris"/>
      <sheetName val="ISPROFIN_314"/>
      <sheetName val="ISPROFIN 2003_314"/>
      <sheetName val="314 volné 1"/>
      <sheetName val="214 volné 2"/>
      <sheetName val="214 názvy prg"/>
      <sheetName val="List2"/>
      <sheetName val="ISPROFIN 2003_SOUHRN_314"/>
      <sheetName val="REZERVA"/>
      <sheetName val="možnosti výbě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3-MPSV"/>
      <sheetName val="314-MV"/>
      <sheetName val="315-MŽP"/>
      <sheetName val="317-MMR"/>
      <sheetName val="321-GA"/>
      <sheetName val="322-MPO"/>
      <sheetName val="327-MDS"/>
      <sheetName val="328-ČTÚ"/>
      <sheetName val="329-MZe"/>
      <sheetName val="333-MŠMT"/>
      <sheetName val="334-MK"/>
      <sheetName val="335-MZd"/>
      <sheetName val="336-MSp"/>
      <sheetName val="341-ÚVIS"/>
      <sheetName val="343-ÚOOÚ"/>
      <sheetName val="344-ÚPV"/>
      <sheetName val="345-ČSÚ"/>
      <sheetName val="346-ČÚZK"/>
      <sheetName val="347-KCP"/>
      <sheetName val="348-ČBÚ"/>
      <sheetName val="353-ÚOHS"/>
      <sheetName val="358-ÚS"/>
      <sheetName val="361-AV"/>
      <sheetName val="372-RRTV"/>
      <sheetName val="374-SSHR"/>
      <sheetName val="375-SÚJB"/>
      <sheetName val="380-OÚ"/>
      <sheetName val="380BE"/>
      <sheetName val="380BI"/>
      <sheetName val="380BK"/>
      <sheetName val="380BN"/>
      <sheetName val="380BR"/>
      <sheetName val="380BV"/>
      <sheetName val="380CB"/>
      <sheetName val="380CH"/>
      <sheetName val="380CK"/>
      <sheetName val="380CL"/>
      <sheetName val="380CR"/>
      <sheetName val="380CV"/>
      <sheetName val="380DC"/>
      <sheetName val="380DO"/>
      <sheetName val="380FM"/>
      <sheetName val="380HB"/>
      <sheetName val="380HK"/>
      <sheetName val="380HO"/>
      <sheetName val="380JC"/>
      <sheetName val="380JE"/>
      <sheetName val="380JH"/>
      <sheetName val="380JI"/>
      <sheetName val="380JN"/>
      <sheetName val="380KD"/>
      <sheetName val="380KH"/>
      <sheetName val="380KI"/>
      <sheetName val="380KM"/>
      <sheetName val="380KO"/>
      <sheetName val="380KT"/>
      <sheetName val="380KV"/>
      <sheetName val="380LI"/>
      <sheetName val="380LN"/>
      <sheetName val="380LT"/>
      <sheetName val="380MB"/>
      <sheetName val="380ME"/>
      <sheetName val="380MO"/>
      <sheetName val="380NA"/>
      <sheetName val="380NB"/>
      <sheetName val="380NJ"/>
      <sheetName val="380OC"/>
      <sheetName val="380OP"/>
      <sheetName val="380PB"/>
      <sheetName val="380PE"/>
      <sheetName val="380PI"/>
      <sheetName val="380PJ"/>
      <sheetName val="380PR"/>
      <sheetName val="380PS"/>
      <sheetName val="380PT"/>
      <sheetName val="380PU"/>
      <sheetName val="380PV"/>
      <sheetName val="380PY"/>
      <sheetName val="380PZ"/>
      <sheetName val="380RA"/>
      <sheetName val="380RK"/>
      <sheetName val="380RO"/>
      <sheetName val="380SM"/>
      <sheetName val="380SO"/>
      <sheetName val="380ST"/>
      <sheetName val="380SU"/>
      <sheetName val="380SY"/>
      <sheetName val="380TA"/>
      <sheetName val="380TC"/>
      <sheetName val="380TP"/>
      <sheetName val="380TR"/>
      <sheetName val="380TU"/>
      <sheetName val="380UH"/>
      <sheetName val="380UL"/>
      <sheetName val="380UO"/>
      <sheetName val="380VS"/>
      <sheetName val="380VY"/>
      <sheetName val="380ZL"/>
      <sheetName val="380ZN"/>
      <sheetName val="380ZR"/>
      <sheetName val="381-NKÚ"/>
      <sheetName val="396-SD"/>
      <sheetName val="397-SFA"/>
      <sheetName val="398-VPS"/>
      <sheetName val="301_KPR"/>
      <sheetName val="SOUHRN 314"/>
      <sheetName val="314020"/>
      <sheetName val="314030"/>
      <sheetName val="314040"/>
      <sheetName val="314050"/>
      <sheetName val="314060"/>
      <sheetName val="314070"/>
      <sheetName val="314120"/>
      <sheetName val="314130"/>
      <sheetName val="314140"/>
      <sheetName val="314210"/>
      <sheetName val="314310"/>
      <sheetName val="314610"/>
      <sheetName val="314620"/>
      <sheetName val="Poznámky"/>
      <sheetName val="List1"/>
      <sheetName val="List3"/>
      <sheetName val="SOUHRN_314"/>
      <sheetName val="314Poz_Boris"/>
      <sheetName val="ISPROFIN_314"/>
      <sheetName val="ISPROFIN 2003_314"/>
      <sheetName val="314 volné 1"/>
      <sheetName val="214 volné 2"/>
      <sheetName val="214 názvy prg"/>
      <sheetName val="List2"/>
      <sheetName val="ISPROFIN 2003_SOUHRN_314"/>
      <sheetName val="REZERVA"/>
      <sheetName val="možnosti výbě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áv.uk,.KPR"/>
      <sheetName val="301-KPR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3-MPSV"/>
      <sheetName val="314-MV"/>
      <sheetName val="315-MŽP"/>
      <sheetName val="317-MMR"/>
      <sheetName val="321-GA"/>
      <sheetName val="322-MPO"/>
      <sheetName val="327-MDS"/>
      <sheetName val="328-ČTÚ"/>
      <sheetName val="329-MZe"/>
      <sheetName val="333-MŠMT"/>
      <sheetName val="334-MK"/>
      <sheetName val="335-MZd"/>
      <sheetName val="336-MSp"/>
      <sheetName val="341-ÚVIS"/>
      <sheetName val="343-ÚOOÚ"/>
      <sheetName val="344-ÚPV"/>
      <sheetName val="345-ČSÚ"/>
      <sheetName val="346-ČÚZK"/>
      <sheetName val="347-KCP"/>
      <sheetName val="348-ČBÚ"/>
      <sheetName val="353-ÚOHS"/>
      <sheetName val="358-ÚS"/>
      <sheetName val="361-AV"/>
      <sheetName val="372-RRTV"/>
      <sheetName val="374-SSHR"/>
      <sheetName val="375-SÚJB"/>
      <sheetName val="380-OÚ"/>
      <sheetName val="380BE"/>
      <sheetName val="380BI"/>
      <sheetName val="380BK"/>
      <sheetName val="380BN"/>
      <sheetName val="380BR"/>
      <sheetName val="380BV"/>
      <sheetName val="380CB"/>
      <sheetName val="380CH"/>
      <sheetName val="380CK"/>
      <sheetName val="380CL"/>
      <sheetName val="380CR"/>
      <sheetName val="380CV"/>
      <sheetName val="380DC"/>
      <sheetName val="380DO"/>
      <sheetName val="380FM"/>
      <sheetName val="380HB"/>
      <sheetName val="380HK"/>
      <sheetName val="380HO"/>
      <sheetName val="380JC"/>
      <sheetName val="380JE"/>
      <sheetName val="380JH"/>
      <sheetName val="380JI"/>
      <sheetName val="380JN"/>
      <sheetName val="380KD"/>
      <sheetName val="380KH"/>
      <sheetName val="380KI"/>
      <sheetName val="380KM"/>
      <sheetName val="380KO"/>
      <sheetName val="380KT"/>
      <sheetName val="380KV"/>
      <sheetName val="380LI"/>
      <sheetName val="380LN"/>
      <sheetName val="380LT"/>
      <sheetName val="380MB"/>
      <sheetName val="380ME"/>
      <sheetName val="380MO"/>
      <sheetName val="380NA"/>
      <sheetName val="380NB"/>
      <sheetName val="380NJ"/>
      <sheetName val="380OC"/>
      <sheetName val="380OP"/>
      <sheetName val="380PB"/>
      <sheetName val="380PE"/>
      <sheetName val="380PI"/>
      <sheetName val="380PJ"/>
      <sheetName val="380PR"/>
      <sheetName val="380PS"/>
      <sheetName val="380PT"/>
      <sheetName val="380PU"/>
      <sheetName val="380PV"/>
      <sheetName val="380PY"/>
      <sheetName val="380PZ"/>
      <sheetName val="380RA"/>
      <sheetName val="380RK"/>
      <sheetName val="380RO"/>
      <sheetName val="380SM"/>
      <sheetName val="380SO"/>
      <sheetName val="380ST"/>
      <sheetName val="380SU"/>
      <sheetName val="380SY"/>
      <sheetName val="380TA"/>
      <sheetName val="380TC"/>
      <sheetName val="380TP"/>
      <sheetName val="380TR"/>
      <sheetName val="380TU"/>
      <sheetName val="380UH"/>
      <sheetName val="380UL"/>
      <sheetName val="380UO"/>
      <sheetName val="380VS"/>
      <sheetName val="380VY"/>
      <sheetName val="380ZL"/>
      <sheetName val="380ZN"/>
      <sheetName val="380ZR"/>
      <sheetName val="381-NKÚ"/>
      <sheetName val="396-SD"/>
      <sheetName val="397-SFA"/>
      <sheetName val="398-VPS"/>
      <sheetName val="301_KPR"/>
      <sheetName val="SOUHRN 314"/>
      <sheetName val="314020"/>
      <sheetName val="314030"/>
      <sheetName val="314040"/>
      <sheetName val="314050"/>
      <sheetName val="314060"/>
      <sheetName val="314070"/>
      <sheetName val="314120"/>
      <sheetName val="314130"/>
      <sheetName val="314140"/>
      <sheetName val="314210"/>
      <sheetName val="314310"/>
      <sheetName val="314610"/>
      <sheetName val="314620"/>
      <sheetName val="Poznámky"/>
      <sheetName val="List1"/>
      <sheetName val="List3"/>
      <sheetName val="SOUHRN_314"/>
      <sheetName val="314Poz_Boris"/>
      <sheetName val="ISPROFIN_314"/>
      <sheetName val="ISPROFIN 2003_314"/>
      <sheetName val="314 volné 1"/>
      <sheetName val="214 volné 2"/>
      <sheetName val="214 názvy prg"/>
      <sheetName val="List2"/>
      <sheetName val="ISPROFIN 2003_SOUHRN_314"/>
      <sheetName val="REZERVA"/>
      <sheetName val="možnosti výbě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2-MF (2)"/>
      <sheetName val="313-MPSV-1"/>
      <sheetName val="313-MPSV-1 (2)"/>
      <sheetName val="313-MPSV-2"/>
      <sheetName val="314-MV-1"/>
      <sheetName val="314-MV-2"/>
      <sheetName val="314-MV-1 (2)"/>
      <sheetName val="315-MŽP"/>
      <sheetName val="317-MMR"/>
      <sheetName val="321-GA"/>
      <sheetName val="322-MPO"/>
      <sheetName val="322-MPO (2)"/>
      <sheetName val="327-MD"/>
      <sheetName val="328-ČTÚ"/>
      <sheetName val="329-MZe"/>
      <sheetName val="333-MŠMT"/>
      <sheetName val="334-MK-1"/>
      <sheetName val="334-MK-2"/>
      <sheetName val="335-MZd"/>
      <sheetName val="336-MSp"/>
      <sheetName val="338-MI"/>
      <sheetName val="343-ÚOOÚ"/>
      <sheetName val="344-ÚPV"/>
      <sheetName val="344-ÚPV (2)"/>
      <sheetName val="345-ČSÚ"/>
      <sheetName val="346-ČÚZK"/>
      <sheetName val="347-KCP"/>
      <sheetName val="348-ČBÚ"/>
      <sheetName val="349-ERÚ"/>
      <sheetName val="349-ERÚ (2)"/>
      <sheetName val="353-ÚOHS"/>
      <sheetName val="358-ÚS"/>
      <sheetName val="361-AV"/>
      <sheetName val="372-RRTV"/>
      <sheetName val="374-SSHR"/>
      <sheetName val="375-SÚJB"/>
      <sheetName val="381-NKÚ"/>
      <sheetName val="396-SD"/>
      <sheetName val="397-OSFA"/>
      <sheetName val="398-VPS"/>
      <sheetName val="Zkr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2-MF (2)"/>
      <sheetName val="313-MPSV-1"/>
      <sheetName val="313-MPSV-1 (2)"/>
      <sheetName val="313-MPSV-2"/>
      <sheetName val="314-MV-1"/>
      <sheetName val="314-MV-2"/>
      <sheetName val="314-MV-1 (2)"/>
      <sheetName val="315-MŽP"/>
      <sheetName val="317-MMR"/>
      <sheetName val="321-GA"/>
      <sheetName val="322-MPO"/>
      <sheetName val="322-MPO (2)"/>
      <sheetName val="327-MD"/>
      <sheetName val="328-ČTÚ"/>
      <sheetName val="329-MZe"/>
      <sheetName val="333-MŠMT"/>
      <sheetName val="334-MK-1"/>
      <sheetName val="334-MK-2"/>
      <sheetName val="335-MZd"/>
      <sheetName val="336-MSp"/>
      <sheetName val="338-MI"/>
      <sheetName val="343-ÚOOÚ"/>
      <sheetName val="344-ÚPV"/>
      <sheetName val="344-ÚPV (2)"/>
      <sheetName val="345-ČSÚ"/>
      <sheetName val="346-ČÚZK"/>
      <sheetName val="347-KCP"/>
      <sheetName val="348-ČBÚ"/>
      <sheetName val="349-ERÚ"/>
      <sheetName val="349-ERÚ (2)"/>
      <sheetName val="353-ÚOHS"/>
      <sheetName val="358-ÚS"/>
      <sheetName val="361-AV"/>
      <sheetName val="372-RRTV"/>
      <sheetName val="374-SSHR"/>
      <sheetName val="375-SÚJB"/>
      <sheetName val="381-NKÚ"/>
      <sheetName val="396-SD"/>
      <sheetName val="397-OSFA"/>
      <sheetName val="398-VPS"/>
      <sheetName val="Zkr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tabSelected="1" zoomScale="85" zoomScaleNormal="85" workbookViewId="0"/>
  </sheetViews>
  <sheetFormatPr defaultRowHeight="18.75" x14ac:dyDescent="0.3"/>
  <cols>
    <col min="1" max="1" width="12.33203125" style="10" customWidth="1"/>
    <col min="2" max="2" width="21.1640625" style="20" customWidth="1"/>
    <col min="3" max="3" width="152.33203125" style="23" customWidth="1"/>
    <col min="4" max="4" width="8.5" style="10" customWidth="1"/>
    <col min="5" max="16384" width="9.33203125" style="10"/>
  </cols>
  <sheetData>
    <row r="2" spans="2:9" ht="21" x14ac:dyDescent="0.35">
      <c r="B2" s="452" t="s">
        <v>98</v>
      </c>
      <c r="C2" s="452"/>
      <c r="D2" s="9"/>
      <c r="E2" s="9"/>
      <c r="F2" s="9"/>
      <c r="G2" s="9"/>
      <c r="H2" s="9"/>
      <c r="I2" s="9"/>
    </row>
    <row r="3" spans="2:9" ht="21" x14ac:dyDescent="0.35">
      <c r="B3" s="452" t="s">
        <v>255</v>
      </c>
      <c r="C3" s="452"/>
      <c r="D3" s="9"/>
      <c r="E3" s="9"/>
      <c r="F3" s="9"/>
      <c r="G3" s="9"/>
      <c r="H3" s="9"/>
      <c r="I3" s="9"/>
    </row>
    <row r="4" spans="2:9" x14ac:dyDescent="0.2">
      <c r="B4" s="11"/>
      <c r="C4" s="12"/>
      <c r="D4" s="13"/>
      <c r="E4" s="13"/>
      <c r="F4" s="13"/>
      <c r="G4" s="13"/>
      <c r="H4" s="13"/>
      <c r="I4" s="13"/>
    </row>
    <row r="5" spans="2:9" x14ac:dyDescent="0.2">
      <c r="B5" s="11" t="s">
        <v>0</v>
      </c>
      <c r="C5" s="14" t="s">
        <v>316</v>
      </c>
      <c r="D5" s="13"/>
      <c r="E5" s="13"/>
      <c r="F5" s="13"/>
      <c r="G5" s="13"/>
      <c r="H5" s="13"/>
      <c r="I5" s="13"/>
    </row>
    <row r="6" spans="2:9" x14ac:dyDescent="0.2">
      <c r="B6" s="11"/>
      <c r="C6" s="15"/>
      <c r="D6" s="13"/>
      <c r="E6" s="13"/>
      <c r="F6" s="13"/>
      <c r="G6" s="13"/>
      <c r="H6" s="13"/>
      <c r="I6" s="13"/>
    </row>
    <row r="7" spans="2:9" ht="18" customHeight="1" x14ac:dyDescent="0.2">
      <c r="B7" s="11" t="s">
        <v>53</v>
      </c>
      <c r="C7" s="14" t="s">
        <v>317</v>
      </c>
      <c r="D7" s="13"/>
      <c r="E7" s="13"/>
      <c r="F7" s="13"/>
      <c r="G7" s="13"/>
      <c r="H7" s="13"/>
      <c r="I7" s="13"/>
    </row>
    <row r="8" spans="2:9" x14ac:dyDescent="0.2">
      <c r="B8" s="11"/>
      <c r="C8" s="15"/>
      <c r="D8" s="13"/>
      <c r="E8" s="13"/>
      <c r="F8" s="13"/>
      <c r="G8" s="13"/>
      <c r="H8" s="13"/>
      <c r="I8" s="13"/>
    </row>
    <row r="9" spans="2:9" x14ac:dyDescent="0.2">
      <c r="B9" s="11" t="s">
        <v>121</v>
      </c>
      <c r="C9" s="15" t="s">
        <v>318</v>
      </c>
      <c r="D9" s="13"/>
      <c r="E9" s="13"/>
      <c r="F9" s="13"/>
      <c r="G9" s="13"/>
      <c r="H9" s="13"/>
      <c r="I9" s="13"/>
    </row>
    <row r="10" spans="2:9" x14ac:dyDescent="0.2">
      <c r="B10" s="11"/>
      <c r="C10" s="15"/>
      <c r="D10" s="13"/>
      <c r="E10" s="13"/>
      <c r="F10" s="13"/>
      <c r="G10" s="13"/>
      <c r="H10" s="13"/>
      <c r="I10" s="13"/>
    </row>
    <row r="11" spans="2:9" x14ac:dyDescent="0.2">
      <c r="B11" s="11" t="s">
        <v>56</v>
      </c>
      <c r="C11" s="15" t="s">
        <v>319</v>
      </c>
      <c r="D11" s="13"/>
      <c r="E11" s="13"/>
      <c r="F11" s="13"/>
      <c r="G11" s="13"/>
      <c r="H11" s="13"/>
      <c r="I11" s="13"/>
    </row>
    <row r="12" spans="2:9" x14ac:dyDescent="0.2">
      <c r="B12" s="11"/>
      <c r="C12" s="15"/>
      <c r="D12" s="13"/>
      <c r="E12" s="13"/>
      <c r="F12" s="13"/>
      <c r="G12" s="13"/>
      <c r="H12" s="13"/>
      <c r="I12" s="13"/>
    </row>
    <row r="13" spans="2:9" ht="18" customHeight="1" x14ac:dyDescent="0.2">
      <c r="B13" s="11" t="s">
        <v>58</v>
      </c>
      <c r="C13" s="14" t="s">
        <v>320</v>
      </c>
      <c r="D13" s="13"/>
      <c r="E13" s="13"/>
      <c r="F13" s="13"/>
      <c r="G13" s="13"/>
      <c r="H13" s="13"/>
      <c r="I13" s="13"/>
    </row>
    <row r="14" spans="2:9" x14ac:dyDescent="0.2">
      <c r="B14" s="11"/>
      <c r="C14" s="15"/>
      <c r="D14" s="13"/>
      <c r="E14" s="13"/>
      <c r="F14" s="13"/>
      <c r="G14" s="13"/>
      <c r="H14" s="13"/>
      <c r="I14" s="13"/>
    </row>
    <row r="15" spans="2:9" x14ac:dyDescent="0.2">
      <c r="B15" s="11" t="s">
        <v>111</v>
      </c>
      <c r="C15" s="15" t="s">
        <v>321</v>
      </c>
      <c r="D15" s="13"/>
      <c r="E15" s="13"/>
      <c r="F15" s="13"/>
      <c r="G15" s="13"/>
      <c r="H15" s="13"/>
      <c r="I15" s="13"/>
    </row>
    <row r="16" spans="2:9" x14ac:dyDescent="0.2">
      <c r="B16" s="16"/>
      <c r="C16" s="17"/>
    </row>
    <row r="17" spans="2:3" ht="37.5" x14ac:dyDescent="0.2">
      <c r="B17" s="16" t="s">
        <v>258</v>
      </c>
      <c r="C17" s="18" t="s">
        <v>322</v>
      </c>
    </row>
    <row r="18" spans="2:3" x14ac:dyDescent="0.2">
      <c r="B18" s="16"/>
      <c r="C18" s="19"/>
    </row>
    <row r="19" spans="2:3" ht="37.5" x14ac:dyDescent="0.2">
      <c r="B19" s="16" t="s">
        <v>123</v>
      </c>
      <c r="C19" s="18" t="s">
        <v>323</v>
      </c>
    </row>
    <row r="20" spans="2:3" x14ac:dyDescent="0.2">
      <c r="B20" s="16"/>
      <c r="C20" s="17"/>
    </row>
    <row r="21" spans="2:3" x14ac:dyDescent="0.2">
      <c r="B21" s="16" t="s">
        <v>60</v>
      </c>
      <c r="C21" s="17" t="s">
        <v>324</v>
      </c>
    </row>
    <row r="22" spans="2:3" x14ac:dyDescent="0.2">
      <c r="B22" s="16"/>
      <c r="C22" s="17"/>
    </row>
    <row r="23" spans="2:3" ht="37.5" x14ac:dyDescent="0.2">
      <c r="B23" s="16" t="s">
        <v>125</v>
      </c>
      <c r="C23" s="14" t="s">
        <v>325</v>
      </c>
    </row>
    <row r="24" spans="2:3" x14ac:dyDescent="0.2">
      <c r="B24" s="16"/>
      <c r="C24" s="15"/>
    </row>
    <row r="25" spans="2:3" ht="37.5" x14ac:dyDescent="0.2">
      <c r="B25" s="16" t="s">
        <v>256</v>
      </c>
      <c r="C25" s="14" t="s">
        <v>326</v>
      </c>
    </row>
    <row r="26" spans="2:3" x14ac:dyDescent="0.2">
      <c r="B26" s="16"/>
      <c r="C26" s="15"/>
    </row>
    <row r="27" spans="2:3" ht="37.5" x14ac:dyDescent="0.2">
      <c r="B27" s="16" t="s">
        <v>257</v>
      </c>
      <c r="C27" s="14" t="s">
        <v>327</v>
      </c>
    </row>
    <row r="28" spans="2:3" ht="16.5" customHeight="1" x14ac:dyDescent="0.3">
      <c r="C28" s="21"/>
    </row>
    <row r="29" spans="2:3" ht="37.5" x14ac:dyDescent="0.3">
      <c r="B29" s="16" t="s">
        <v>199</v>
      </c>
      <c r="C29" s="22" t="s">
        <v>328</v>
      </c>
    </row>
    <row r="30" spans="2:3" x14ac:dyDescent="0.2">
      <c r="B30" s="16"/>
      <c r="C30" s="15"/>
    </row>
    <row r="31" spans="2:3" x14ac:dyDescent="0.2">
      <c r="B31" s="16" t="s">
        <v>250</v>
      </c>
      <c r="C31" s="14" t="s">
        <v>198</v>
      </c>
    </row>
    <row r="32" spans="2:3" x14ac:dyDescent="0.3">
      <c r="C32" s="21"/>
    </row>
    <row r="33" spans="2:3" x14ac:dyDescent="0.2">
      <c r="B33" s="16" t="s">
        <v>253</v>
      </c>
      <c r="C33" s="14" t="s">
        <v>276</v>
      </c>
    </row>
    <row r="34" spans="2:3" x14ac:dyDescent="0.3">
      <c r="C34" s="21"/>
    </row>
    <row r="35" spans="2:3" x14ac:dyDescent="0.2">
      <c r="B35" s="16" t="s">
        <v>186</v>
      </c>
      <c r="C35" s="14" t="s">
        <v>329</v>
      </c>
    </row>
    <row r="36" spans="2:3" x14ac:dyDescent="0.3">
      <c r="C36" s="21"/>
    </row>
  </sheetData>
  <mergeCells count="2">
    <mergeCell ref="B2:C2"/>
    <mergeCell ref="B3:C3"/>
  </mergeCells>
  <pageMargins left="0.70866141732283472" right="0.70866141732283472" top="1.1811023622047245" bottom="0.78740157480314965" header="0.31496062992125984" footer="0.31496062992125984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pane xSplit="4" ySplit="4" topLeftCell="E5" activePane="bottomRight" state="frozen"/>
      <selection activeCell="A37" sqref="A37:XFD42"/>
      <selection pane="topRight" activeCell="A37" sqref="A37:XFD42"/>
      <selection pane="bottomLeft" activeCell="A37" sqref="A37:XFD42"/>
      <selection pane="bottomRight"/>
    </sheetView>
  </sheetViews>
  <sheetFormatPr defaultColWidth="10.6640625" defaultRowHeight="12.75" x14ac:dyDescent="0.2"/>
  <cols>
    <col min="1" max="1" width="3.33203125" style="66" customWidth="1"/>
    <col min="2" max="2" width="6.6640625" style="74" customWidth="1"/>
    <col min="3" max="3" width="49.5" style="74" customWidth="1"/>
    <col min="4" max="4" width="11.1640625" style="75" customWidth="1"/>
    <col min="5" max="5" width="17.33203125" style="74" customWidth="1"/>
    <col min="6" max="7" width="17.5" style="74" customWidth="1"/>
    <col min="8" max="8" width="17.5" style="273" customWidth="1"/>
    <col min="9" max="11" width="16.83203125" style="273" bestFit="1" customWidth="1"/>
    <col min="12" max="12" width="16.83203125" style="273" customWidth="1"/>
    <col min="13" max="15" width="11.1640625" style="273" customWidth="1"/>
    <col min="16" max="16384" width="10.6640625" style="74"/>
  </cols>
  <sheetData>
    <row r="1" spans="2:15" x14ac:dyDescent="0.2">
      <c r="L1" s="273" t="s">
        <v>60</v>
      </c>
    </row>
    <row r="3" spans="2:15" ht="18.75" customHeight="1" x14ac:dyDescent="0.25">
      <c r="B3" s="472" t="s">
        <v>346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</row>
    <row r="4" spans="2:15" x14ac:dyDescent="0.2">
      <c r="E4" s="76"/>
    </row>
    <row r="5" spans="2:15" ht="13.5" thickBot="1" x14ac:dyDescent="0.25">
      <c r="K5" s="275"/>
      <c r="L5" s="275" t="s">
        <v>2</v>
      </c>
    </row>
    <row r="6" spans="2:15" ht="13.5" thickBot="1" x14ac:dyDescent="0.25">
      <c r="B6" s="77"/>
      <c r="C6" s="78" t="s">
        <v>61</v>
      </c>
      <c r="D6" s="78" t="s">
        <v>62</v>
      </c>
      <c r="E6" s="79" t="s">
        <v>5</v>
      </c>
      <c r="F6" s="80" t="s">
        <v>259</v>
      </c>
      <c r="G6" s="80" t="s">
        <v>260</v>
      </c>
      <c r="H6" s="274" t="s">
        <v>330</v>
      </c>
      <c r="I6" s="276">
        <v>2023</v>
      </c>
      <c r="J6" s="79">
        <v>2024</v>
      </c>
      <c r="K6" s="79">
        <v>2025</v>
      </c>
      <c r="L6" s="277">
        <v>2026</v>
      </c>
      <c r="M6" s="470" t="s">
        <v>63</v>
      </c>
      <c r="N6" s="470"/>
      <c r="O6" s="471"/>
    </row>
    <row r="7" spans="2:15" ht="14.25" thickTop="1" thickBot="1" x14ac:dyDescent="0.25">
      <c r="B7" s="82"/>
      <c r="C7" s="83"/>
      <c r="D7" s="84"/>
      <c r="E7" s="85"/>
      <c r="F7" s="85"/>
      <c r="G7" s="85"/>
      <c r="H7" s="85"/>
      <c r="I7" s="278"/>
      <c r="J7" s="279"/>
      <c r="K7" s="278"/>
      <c r="L7" s="280"/>
      <c r="M7" s="281" t="s">
        <v>64</v>
      </c>
      <c r="N7" s="282" t="s">
        <v>306</v>
      </c>
      <c r="O7" s="283" t="s">
        <v>337</v>
      </c>
    </row>
    <row r="8" spans="2:15" ht="13.5" thickBot="1" x14ac:dyDescent="0.25">
      <c r="B8" s="86" t="s">
        <v>65</v>
      </c>
      <c r="C8" s="87" t="s">
        <v>66</v>
      </c>
      <c r="D8" s="88"/>
      <c r="E8" s="89">
        <f>E9+E15+E22+E23+E24+E25+E26+E27+E28+E34+E35</f>
        <v>603411235679.02991</v>
      </c>
      <c r="F8" s="89">
        <f>F9+F15+F22+F23+F24+F25+F26+F27+F28+F34+F35</f>
        <v>688691755998</v>
      </c>
      <c r="G8" s="89">
        <f t="shared" ref="G8:H8" si="0">G9+G15+G22+G23+G24+G25+G26+G27+G28+G34+G35</f>
        <v>693619428298</v>
      </c>
      <c r="H8" s="89">
        <f t="shared" si="0"/>
        <v>768977011729</v>
      </c>
      <c r="I8" s="89">
        <f t="shared" ref="I8" si="1">I9+I15+I22+I23+I24+I25+I26+I27+I28+I34+I35</f>
        <v>859187938409</v>
      </c>
      <c r="J8" s="284">
        <f t="shared" ref="J8" si="2">J9+J15+J22+J23+J24+J25+J26+J27+J28+J34+J35</f>
        <v>897664153762</v>
      </c>
      <c r="K8" s="89">
        <f t="shared" ref="K8" si="3">K9+K15+K22+K23+K24+K25+K26+K27+K28+K34+K35</f>
        <v>912831433934</v>
      </c>
      <c r="L8" s="285">
        <f t="shared" ref="L8" si="4">L9+L15+L22+L23+L24+L25+L26+L27+L28+L34+L35</f>
        <v>934464638930</v>
      </c>
      <c r="M8" s="286">
        <f>IF(I8=0," ",IF(I8&gt;0,ROUND(J8/I8*100,1)))</f>
        <v>104.5</v>
      </c>
      <c r="N8" s="286">
        <f>IF(J8=0," ",IF(J8&gt;0,ROUND(K8/J8*100,1)))</f>
        <v>101.7</v>
      </c>
      <c r="O8" s="287">
        <f>IF(K8=0," ",IF(K8&gt;0,ROUND(L8/K8*100,1)))</f>
        <v>102.4</v>
      </c>
    </row>
    <row r="9" spans="2:15" x14ac:dyDescent="0.2">
      <c r="B9" s="90" t="s">
        <v>67</v>
      </c>
      <c r="C9" s="91" t="s">
        <v>68</v>
      </c>
      <c r="D9" s="92" t="s">
        <v>309</v>
      </c>
      <c r="E9" s="93">
        <f t="shared" ref="E9:F9" si="5">E11+E10+E12+E13+E14</f>
        <v>471796944399.01996</v>
      </c>
      <c r="F9" s="93">
        <f t="shared" si="5"/>
        <v>519843446162</v>
      </c>
      <c r="G9" s="93">
        <v>530739488857</v>
      </c>
      <c r="H9" s="93">
        <v>588419801302</v>
      </c>
      <c r="I9" s="288">
        <v>671705064439</v>
      </c>
      <c r="J9" s="289">
        <v>711324012217</v>
      </c>
      <c r="K9" s="288">
        <v>722231070065</v>
      </c>
      <c r="L9" s="290">
        <v>739302624671</v>
      </c>
      <c r="M9" s="291">
        <f t="shared" ref="M9:M43" si="6">IF(I9=0," ",IF(I9&gt;0,ROUND(J9/I9*100,1)))</f>
        <v>105.9</v>
      </c>
      <c r="N9" s="291">
        <f t="shared" ref="N9:N43" si="7">IF(J9=0," ",IF(J9&gt;0,ROUND(K9/J9*100,1)))</f>
        <v>101.5</v>
      </c>
      <c r="O9" s="292">
        <f t="shared" ref="O9:O43" si="8">IF(K9=0," ",IF(K9&gt;0,ROUND(L9/K9*100,1)))</f>
        <v>102.4</v>
      </c>
    </row>
    <row r="10" spans="2:15" x14ac:dyDescent="0.2">
      <c r="B10" s="90"/>
      <c r="C10" s="94"/>
      <c r="D10" s="240" t="s">
        <v>69</v>
      </c>
      <c r="E10" s="241">
        <v>4604225345.2700005</v>
      </c>
      <c r="F10" s="241">
        <v>4889628333</v>
      </c>
      <c r="G10" s="241">
        <v>4853506083</v>
      </c>
      <c r="H10" s="241">
        <v>5164594701</v>
      </c>
      <c r="I10" s="241">
        <v>5744515000</v>
      </c>
      <c r="J10" s="293">
        <v>5866259000</v>
      </c>
      <c r="K10" s="241">
        <v>5948387000</v>
      </c>
      <c r="L10" s="294">
        <v>5948387000</v>
      </c>
      <c r="M10" s="295">
        <f t="shared" si="6"/>
        <v>102.1</v>
      </c>
      <c r="N10" s="295">
        <f t="shared" si="7"/>
        <v>101.4</v>
      </c>
      <c r="O10" s="296">
        <f t="shared" si="8"/>
        <v>100</v>
      </c>
    </row>
    <row r="11" spans="2:15" x14ac:dyDescent="0.2">
      <c r="B11" s="90"/>
      <c r="C11" s="94"/>
      <c r="D11" s="240" t="s">
        <v>70</v>
      </c>
      <c r="E11" s="241">
        <v>460727757255.35999</v>
      </c>
      <c r="F11" s="241">
        <v>507906182296</v>
      </c>
      <c r="G11" s="241">
        <v>518623889769</v>
      </c>
      <c r="H11" s="241">
        <v>575238555981</v>
      </c>
      <c r="I11" s="241">
        <v>656609270520</v>
      </c>
      <c r="J11" s="293">
        <v>694800000000</v>
      </c>
      <c r="K11" s="241">
        <v>704600000000</v>
      </c>
      <c r="L11" s="294">
        <v>721000000000</v>
      </c>
      <c r="M11" s="295">
        <f t="shared" si="6"/>
        <v>105.8</v>
      </c>
      <c r="N11" s="295">
        <f t="shared" si="7"/>
        <v>101.4</v>
      </c>
      <c r="O11" s="296">
        <f t="shared" si="8"/>
        <v>102.3</v>
      </c>
    </row>
    <row r="12" spans="2:15" x14ac:dyDescent="0.2">
      <c r="B12" s="90"/>
      <c r="C12" s="94"/>
      <c r="D12" s="240" t="s">
        <v>71</v>
      </c>
      <c r="E12" s="241">
        <v>5698869177.6599998</v>
      </c>
      <c r="F12" s="241">
        <v>6202217264</v>
      </c>
      <c r="G12" s="241">
        <v>6389599973</v>
      </c>
      <c r="H12" s="241">
        <v>7040834144</v>
      </c>
      <c r="I12" s="241">
        <v>8253955715</v>
      </c>
      <c r="J12" s="293">
        <v>9319706890</v>
      </c>
      <c r="K12" s="241">
        <v>10264183065</v>
      </c>
      <c r="L12" s="294">
        <v>10819237671</v>
      </c>
      <c r="M12" s="295">
        <f t="shared" si="6"/>
        <v>112.9</v>
      </c>
      <c r="N12" s="295">
        <f t="shared" si="7"/>
        <v>110.1</v>
      </c>
      <c r="O12" s="296">
        <f t="shared" si="8"/>
        <v>105.4</v>
      </c>
    </row>
    <row r="13" spans="2:15" x14ac:dyDescent="0.2">
      <c r="B13" s="90"/>
      <c r="C13" s="94"/>
      <c r="D13" s="240" t="s">
        <v>72</v>
      </c>
      <c r="E13" s="241">
        <v>766092620.73000002</v>
      </c>
      <c r="F13" s="241">
        <v>845418269</v>
      </c>
      <c r="G13" s="241">
        <v>872493032</v>
      </c>
      <c r="H13" s="241">
        <v>975816476</v>
      </c>
      <c r="I13" s="241">
        <v>1097323204</v>
      </c>
      <c r="J13" s="293">
        <v>1338046327</v>
      </c>
      <c r="K13" s="241">
        <v>1418500000</v>
      </c>
      <c r="L13" s="294">
        <v>1535000000</v>
      </c>
      <c r="M13" s="295">
        <f t="shared" si="6"/>
        <v>121.9</v>
      </c>
      <c r="N13" s="295">
        <f t="shared" si="7"/>
        <v>106</v>
      </c>
      <c r="O13" s="296">
        <f t="shared" si="8"/>
        <v>108.2</v>
      </c>
    </row>
    <row r="14" spans="2:15" x14ac:dyDescent="0.2">
      <c r="B14" s="90"/>
      <c r="C14" s="94"/>
      <c r="D14" s="240" t="s">
        <v>73</v>
      </c>
      <c r="E14" s="241">
        <v>0</v>
      </c>
      <c r="F14" s="241">
        <v>0</v>
      </c>
      <c r="G14" s="241">
        <v>0</v>
      </c>
      <c r="H14" s="241">
        <v>0</v>
      </c>
      <c r="I14" s="241">
        <v>0</v>
      </c>
      <c r="J14" s="293">
        <v>0</v>
      </c>
      <c r="K14" s="241">
        <v>0</v>
      </c>
      <c r="L14" s="294">
        <v>0</v>
      </c>
      <c r="M14" s="295"/>
      <c r="N14" s="295" t="str">
        <f t="shared" si="7"/>
        <v xml:space="preserve"> </v>
      </c>
      <c r="O14" s="296" t="str">
        <f t="shared" si="8"/>
        <v xml:space="preserve"> </v>
      </c>
    </row>
    <row r="15" spans="2:15" x14ac:dyDescent="0.2">
      <c r="B15" s="95" t="s">
        <v>74</v>
      </c>
      <c r="C15" s="96" t="s">
        <v>75</v>
      </c>
      <c r="D15" s="97" t="s">
        <v>309</v>
      </c>
      <c r="E15" s="98">
        <f t="shared" ref="E15:F15" si="9">E18+E16+E19+E20+E17+E21</f>
        <v>39230355314.349998</v>
      </c>
      <c r="F15" s="98">
        <f t="shared" si="9"/>
        <v>55610751773</v>
      </c>
      <c r="G15" s="98">
        <v>51904087129</v>
      </c>
      <c r="H15" s="98">
        <v>48126019440</v>
      </c>
      <c r="I15" s="98">
        <v>51561521608</v>
      </c>
      <c r="J15" s="297">
        <v>53087897922</v>
      </c>
      <c r="K15" s="98">
        <v>55693901245</v>
      </c>
      <c r="L15" s="290">
        <v>58306093245</v>
      </c>
      <c r="M15" s="291">
        <f t="shared" si="6"/>
        <v>103</v>
      </c>
      <c r="N15" s="291">
        <f t="shared" si="7"/>
        <v>104.9</v>
      </c>
      <c r="O15" s="292">
        <f t="shared" si="8"/>
        <v>104.7</v>
      </c>
    </row>
    <row r="16" spans="2:15" x14ac:dyDescent="0.2">
      <c r="B16" s="95"/>
      <c r="C16" s="99"/>
      <c r="D16" s="242" t="s">
        <v>69</v>
      </c>
      <c r="E16" s="105">
        <v>85737462</v>
      </c>
      <c r="F16" s="105">
        <v>90558067</v>
      </c>
      <c r="G16" s="105">
        <v>97334398</v>
      </c>
      <c r="H16" s="105">
        <v>117548210</v>
      </c>
      <c r="I16" s="105">
        <v>114322000</v>
      </c>
      <c r="J16" s="298">
        <v>114322000</v>
      </c>
      <c r="K16" s="105">
        <v>114322000</v>
      </c>
      <c r="L16" s="294">
        <v>114322000</v>
      </c>
      <c r="M16" s="295">
        <f t="shared" si="6"/>
        <v>100</v>
      </c>
      <c r="N16" s="295">
        <f t="shared" si="7"/>
        <v>100</v>
      </c>
      <c r="O16" s="296">
        <f t="shared" si="8"/>
        <v>100</v>
      </c>
    </row>
    <row r="17" spans="2:15" x14ac:dyDescent="0.2">
      <c r="B17" s="95"/>
      <c r="C17" s="99"/>
      <c r="D17" s="242" t="s">
        <v>76</v>
      </c>
      <c r="E17" s="105">
        <v>20452360</v>
      </c>
      <c r="F17" s="105">
        <v>22319425</v>
      </c>
      <c r="G17" s="105">
        <v>23007357</v>
      </c>
      <c r="H17" s="105">
        <v>30534032</v>
      </c>
      <c r="I17" s="105">
        <v>23763608</v>
      </c>
      <c r="J17" s="298">
        <v>33719922</v>
      </c>
      <c r="K17" s="105">
        <v>37423245</v>
      </c>
      <c r="L17" s="294">
        <v>37423245</v>
      </c>
      <c r="M17" s="295">
        <f t="shared" si="6"/>
        <v>141.9</v>
      </c>
      <c r="N17" s="295">
        <f t="shared" si="7"/>
        <v>111</v>
      </c>
      <c r="O17" s="296">
        <f t="shared" si="8"/>
        <v>100</v>
      </c>
    </row>
    <row r="18" spans="2:15" x14ac:dyDescent="0.2">
      <c r="B18" s="95"/>
      <c r="C18" s="99"/>
      <c r="D18" s="242" t="s">
        <v>70</v>
      </c>
      <c r="E18" s="105">
        <v>38886553249.349998</v>
      </c>
      <c r="F18" s="105">
        <v>55206495273</v>
      </c>
      <c r="G18" s="105">
        <v>51471940677</v>
      </c>
      <c r="H18" s="105">
        <v>47630528751</v>
      </c>
      <c r="I18" s="105">
        <v>51000000000</v>
      </c>
      <c r="J18" s="298">
        <v>52500000000</v>
      </c>
      <c r="K18" s="105">
        <v>55100000000</v>
      </c>
      <c r="L18" s="294">
        <v>57700000000</v>
      </c>
      <c r="M18" s="295">
        <f t="shared" si="6"/>
        <v>102.9</v>
      </c>
      <c r="N18" s="295">
        <f t="shared" si="7"/>
        <v>105</v>
      </c>
      <c r="O18" s="296">
        <f t="shared" si="8"/>
        <v>104.7</v>
      </c>
    </row>
    <row r="19" spans="2:15" x14ac:dyDescent="0.2">
      <c r="B19" s="95"/>
      <c r="C19" s="99"/>
      <c r="D19" s="242" t="s">
        <v>71</v>
      </c>
      <c r="E19" s="105">
        <v>202115277</v>
      </c>
      <c r="F19" s="105">
        <v>245621076</v>
      </c>
      <c r="G19" s="105">
        <v>265694183</v>
      </c>
      <c r="H19" s="105">
        <v>296610667</v>
      </c>
      <c r="I19" s="105">
        <v>378286000</v>
      </c>
      <c r="J19" s="298">
        <v>388706000</v>
      </c>
      <c r="K19" s="105">
        <v>391006000</v>
      </c>
      <c r="L19" s="294">
        <v>403198000</v>
      </c>
      <c r="M19" s="295">
        <f t="shared" si="6"/>
        <v>102.8</v>
      </c>
      <c r="N19" s="295">
        <f t="shared" si="7"/>
        <v>100.6</v>
      </c>
      <c r="O19" s="296">
        <f t="shared" si="8"/>
        <v>103.1</v>
      </c>
    </row>
    <row r="20" spans="2:15" x14ac:dyDescent="0.2">
      <c r="B20" s="95"/>
      <c r="C20" s="99"/>
      <c r="D20" s="242" t="s">
        <v>72</v>
      </c>
      <c r="E20" s="105">
        <v>34828844</v>
      </c>
      <c r="F20" s="105">
        <v>44122656</v>
      </c>
      <c r="G20" s="105">
        <v>45181435</v>
      </c>
      <c r="H20" s="105">
        <v>49784087</v>
      </c>
      <c r="I20" s="105">
        <v>44000000</v>
      </c>
      <c r="J20" s="298">
        <v>50000000</v>
      </c>
      <c r="K20" s="105">
        <v>50000000</v>
      </c>
      <c r="L20" s="294">
        <v>50000000</v>
      </c>
      <c r="M20" s="295">
        <f t="shared" si="6"/>
        <v>113.6</v>
      </c>
      <c r="N20" s="295">
        <f t="shared" si="7"/>
        <v>100</v>
      </c>
      <c r="O20" s="296">
        <f t="shared" si="8"/>
        <v>100</v>
      </c>
    </row>
    <row r="21" spans="2:15" x14ac:dyDescent="0.2">
      <c r="B21" s="95"/>
      <c r="C21" s="99"/>
      <c r="D21" s="242" t="s">
        <v>77</v>
      </c>
      <c r="E21" s="105">
        <v>668122</v>
      </c>
      <c r="F21" s="105">
        <v>1635276</v>
      </c>
      <c r="G21" s="105">
        <v>929079</v>
      </c>
      <c r="H21" s="105">
        <v>1013693</v>
      </c>
      <c r="I21" s="105">
        <v>1150000</v>
      </c>
      <c r="J21" s="298">
        <v>1150000</v>
      </c>
      <c r="K21" s="105">
        <v>1150000</v>
      </c>
      <c r="L21" s="294">
        <v>1150000</v>
      </c>
      <c r="M21" s="295">
        <f t="shared" si="6"/>
        <v>100</v>
      </c>
      <c r="N21" s="295">
        <f t="shared" si="7"/>
        <v>100</v>
      </c>
      <c r="O21" s="296">
        <f t="shared" si="8"/>
        <v>100</v>
      </c>
    </row>
    <row r="22" spans="2:15" x14ac:dyDescent="0.2">
      <c r="B22" s="95" t="s">
        <v>78</v>
      </c>
      <c r="C22" s="96" t="s">
        <v>79</v>
      </c>
      <c r="D22" s="244"/>
      <c r="E22" s="100"/>
      <c r="F22" s="100"/>
      <c r="G22" s="100"/>
      <c r="H22" s="100"/>
      <c r="I22" s="100"/>
      <c r="J22" s="299"/>
      <c r="K22" s="100"/>
      <c r="L22" s="300"/>
      <c r="M22" s="291" t="str">
        <f t="shared" si="6"/>
        <v xml:space="preserve"> </v>
      </c>
      <c r="N22" s="291" t="str">
        <f t="shared" si="7"/>
        <v xml:space="preserve"> </v>
      </c>
      <c r="O22" s="292" t="str">
        <f t="shared" si="8"/>
        <v xml:space="preserve"> </v>
      </c>
    </row>
    <row r="23" spans="2:15" x14ac:dyDescent="0.2">
      <c r="B23" s="95" t="s">
        <v>80</v>
      </c>
      <c r="C23" s="96" t="s">
        <v>81</v>
      </c>
      <c r="D23" s="92" t="s">
        <v>70</v>
      </c>
      <c r="E23" s="100">
        <v>38806862887.369995</v>
      </c>
      <c r="F23" s="100">
        <v>52614456655</v>
      </c>
      <c r="G23" s="100">
        <v>49713554360</v>
      </c>
      <c r="H23" s="100">
        <v>56748183090</v>
      </c>
      <c r="I23" s="100">
        <v>61369396710</v>
      </c>
      <c r="J23" s="299">
        <v>59369396710</v>
      </c>
      <c r="K23" s="100">
        <v>59669396710</v>
      </c>
      <c r="L23" s="300">
        <v>60169396710</v>
      </c>
      <c r="M23" s="291">
        <f t="shared" si="6"/>
        <v>96.7</v>
      </c>
      <c r="N23" s="291">
        <f t="shared" si="7"/>
        <v>100.5</v>
      </c>
      <c r="O23" s="292">
        <f t="shared" si="8"/>
        <v>100.8</v>
      </c>
    </row>
    <row r="24" spans="2:15" x14ac:dyDescent="0.2">
      <c r="B24" s="95" t="s">
        <v>82</v>
      </c>
      <c r="C24" s="96" t="s">
        <v>83</v>
      </c>
      <c r="D24" s="92" t="s">
        <v>70</v>
      </c>
      <c r="E24" s="100">
        <v>8144406669.1400003</v>
      </c>
      <c r="F24" s="100">
        <v>10566518171</v>
      </c>
      <c r="G24" s="100">
        <v>10006452463</v>
      </c>
      <c r="H24" s="100">
        <v>9884374819</v>
      </c>
      <c r="I24" s="100">
        <v>9264094940</v>
      </c>
      <c r="J24" s="299">
        <v>9568000000</v>
      </c>
      <c r="K24" s="100">
        <v>9551000000</v>
      </c>
      <c r="L24" s="300">
        <v>9600000000</v>
      </c>
      <c r="M24" s="291">
        <f t="shared" si="6"/>
        <v>103.3</v>
      </c>
      <c r="N24" s="291">
        <f t="shared" si="7"/>
        <v>99.8</v>
      </c>
      <c r="O24" s="292">
        <f t="shared" si="8"/>
        <v>100.5</v>
      </c>
    </row>
    <row r="25" spans="2:15" x14ac:dyDescent="0.2">
      <c r="B25" s="95" t="s">
        <v>84</v>
      </c>
      <c r="C25" s="96" t="s">
        <v>85</v>
      </c>
      <c r="D25" s="92" t="s">
        <v>70</v>
      </c>
      <c r="E25" s="100">
        <v>4438449478.9399996</v>
      </c>
      <c r="F25" s="100">
        <v>4799809495</v>
      </c>
      <c r="G25" s="100">
        <v>5332792734</v>
      </c>
      <c r="H25" s="100">
        <v>14416161303</v>
      </c>
      <c r="I25" s="100">
        <v>10000000000</v>
      </c>
      <c r="J25" s="299">
        <v>7000000000</v>
      </c>
      <c r="K25" s="100">
        <v>6900000000</v>
      </c>
      <c r="L25" s="300">
        <v>6900000000</v>
      </c>
      <c r="M25" s="291">
        <f t="shared" si="6"/>
        <v>70</v>
      </c>
      <c r="N25" s="291">
        <f t="shared" si="7"/>
        <v>98.6</v>
      </c>
      <c r="O25" s="292">
        <f t="shared" si="8"/>
        <v>100</v>
      </c>
    </row>
    <row r="26" spans="2:15" x14ac:dyDescent="0.2">
      <c r="B26" s="95" t="s">
        <v>86</v>
      </c>
      <c r="C26" s="96" t="s">
        <v>87</v>
      </c>
      <c r="D26" s="92" t="s">
        <v>70</v>
      </c>
      <c r="E26" s="100">
        <v>2690545324.8200002</v>
      </c>
      <c r="F26" s="100">
        <v>2681478946</v>
      </c>
      <c r="G26" s="100">
        <v>2615917262</v>
      </c>
      <c r="H26" s="100">
        <v>2726395664</v>
      </c>
      <c r="I26" s="100">
        <v>4270000000</v>
      </c>
      <c r="J26" s="299">
        <v>4270000000</v>
      </c>
      <c r="K26" s="100">
        <v>4270000000</v>
      </c>
      <c r="L26" s="300">
        <v>4270000000</v>
      </c>
      <c r="M26" s="291">
        <f t="shared" si="6"/>
        <v>100</v>
      </c>
      <c r="N26" s="291">
        <f t="shared" si="7"/>
        <v>100</v>
      </c>
      <c r="O26" s="292">
        <f t="shared" si="8"/>
        <v>100</v>
      </c>
    </row>
    <row r="27" spans="2:15" x14ac:dyDescent="0.2">
      <c r="B27" s="95" t="s">
        <v>88</v>
      </c>
      <c r="C27" s="96" t="s">
        <v>89</v>
      </c>
      <c r="D27" s="92" t="s">
        <v>70</v>
      </c>
      <c r="E27" s="100">
        <v>29822025221</v>
      </c>
      <c r="F27" s="100">
        <v>33153189206</v>
      </c>
      <c r="G27" s="100">
        <v>32793100691</v>
      </c>
      <c r="H27" s="100">
        <v>36448254395</v>
      </c>
      <c r="I27" s="100">
        <v>37615482820</v>
      </c>
      <c r="J27" s="299">
        <v>38015482820</v>
      </c>
      <c r="K27" s="100">
        <v>38800000000</v>
      </c>
      <c r="L27" s="300">
        <v>39600000000</v>
      </c>
      <c r="M27" s="291">
        <f t="shared" si="6"/>
        <v>101.1</v>
      </c>
      <c r="N27" s="291">
        <f t="shared" si="7"/>
        <v>102.1</v>
      </c>
      <c r="O27" s="292">
        <f t="shared" si="8"/>
        <v>102.1</v>
      </c>
    </row>
    <row r="28" spans="2:15" x14ac:dyDescent="0.2">
      <c r="B28" s="95" t="s">
        <v>90</v>
      </c>
      <c r="C28" s="96" t="s">
        <v>91</v>
      </c>
      <c r="D28" s="92" t="s">
        <v>309</v>
      </c>
      <c r="E28" s="101">
        <f>E29+E31+E32+E30+E33</f>
        <v>8480337296.3899994</v>
      </c>
      <c r="F28" s="101">
        <f>F29+F31+F32+F30+F33</f>
        <v>9420904609</v>
      </c>
      <c r="G28" s="101">
        <v>10476461133</v>
      </c>
      <c r="H28" s="101">
        <v>12046399312</v>
      </c>
      <c r="I28" s="98">
        <v>13200877892</v>
      </c>
      <c r="J28" s="297">
        <v>14827864093</v>
      </c>
      <c r="K28" s="98">
        <v>15514565914</v>
      </c>
      <c r="L28" s="290">
        <v>16115024304</v>
      </c>
      <c r="M28" s="291">
        <f t="shared" si="6"/>
        <v>112.3</v>
      </c>
      <c r="N28" s="291">
        <f t="shared" si="7"/>
        <v>104.6</v>
      </c>
      <c r="O28" s="292">
        <f t="shared" si="8"/>
        <v>103.9</v>
      </c>
    </row>
    <row r="29" spans="2:15" x14ac:dyDescent="0.2">
      <c r="B29" s="102"/>
      <c r="C29" s="103"/>
      <c r="D29" s="245" t="s">
        <v>69</v>
      </c>
      <c r="E29" s="104">
        <v>2568372231.9000001</v>
      </c>
      <c r="F29" s="104">
        <v>2744084556</v>
      </c>
      <c r="G29" s="104">
        <v>2811231471</v>
      </c>
      <c r="H29" s="104">
        <v>3115967431</v>
      </c>
      <c r="I29" s="104">
        <v>3344971000</v>
      </c>
      <c r="J29" s="301">
        <v>3512200000</v>
      </c>
      <c r="K29" s="104">
        <v>3517114000</v>
      </c>
      <c r="L29" s="302">
        <v>3517114000</v>
      </c>
      <c r="M29" s="295">
        <f t="shared" si="6"/>
        <v>105</v>
      </c>
      <c r="N29" s="295">
        <f t="shared" si="7"/>
        <v>100.1</v>
      </c>
      <c r="O29" s="296">
        <f t="shared" si="8"/>
        <v>100</v>
      </c>
    </row>
    <row r="30" spans="2:15" x14ac:dyDescent="0.2">
      <c r="B30" s="102"/>
      <c r="C30" s="103"/>
      <c r="D30" s="242" t="s">
        <v>76</v>
      </c>
      <c r="E30" s="104">
        <v>661419525</v>
      </c>
      <c r="F30" s="104">
        <v>645627319</v>
      </c>
      <c r="G30" s="104">
        <v>759911032</v>
      </c>
      <c r="H30" s="104">
        <v>849363805</v>
      </c>
      <c r="I30" s="105">
        <v>918446847</v>
      </c>
      <c r="J30" s="298">
        <v>1047129504</v>
      </c>
      <c r="K30" s="105">
        <v>1128160276</v>
      </c>
      <c r="L30" s="302">
        <v>1211297848</v>
      </c>
      <c r="M30" s="295">
        <f t="shared" si="6"/>
        <v>114</v>
      </c>
      <c r="N30" s="295">
        <f t="shared" si="7"/>
        <v>107.7</v>
      </c>
      <c r="O30" s="296">
        <f t="shared" si="8"/>
        <v>107.4</v>
      </c>
    </row>
    <row r="31" spans="2:15" x14ac:dyDescent="0.2">
      <c r="B31" s="102"/>
      <c r="C31" s="103"/>
      <c r="D31" s="245" t="s">
        <v>71</v>
      </c>
      <c r="E31" s="104">
        <v>4532563228.8400002</v>
      </c>
      <c r="F31" s="104">
        <v>5198510633</v>
      </c>
      <c r="G31" s="104">
        <v>6002410638</v>
      </c>
      <c r="H31" s="104">
        <v>6974409029</v>
      </c>
      <c r="I31" s="104">
        <v>7665888940</v>
      </c>
      <c r="J31" s="301">
        <v>8899100757</v>
      </c>
      <c r="K31" s="104">
        <v>9461277967</v>
      </c>
      <c r="L31" s="302">
        <v>9901808946</v>
      </c>
      <c r="M31" s="295">
        <f t="shared" si="6"/>
        <v>116.1</v>
      </c>
      <c r="N31" s="295">
        <f t="shared" si="7"/>
        <v>106.3</v>
      </c>
      <c r="O31" s="296">
        <f t="shared" si="8"/>
        <v>104.7</v>
      </c>
    </row>
    <row r="32" spans="2:15" x14ac:dyDescent="0.2">
      <c r="B32" s="102"/>
      <c r="C32" s="103"/>
      <c r="D32" s="245" t="s">
        <v>72</v>
      </c>
      <c r="E32" s="104">
        <v>675029301.64999998</v>
      </c>
      <c r="F32" s="104">
        <v>776943814</v>
      </c>
      <c r="G32" s="104">
        <v>852211164</v>
      </c>
      <c r="H32" s="104">
        <v>1031142913</v>
      </c>
      <c r="I32" s="104">
        <v>1185210000</v>
      </c>
      <c r="J32" s="301">
        <v>1267210000</v>
      </c>
      <c r="K32" s="104">
        <v>1294500000</v>
      </c>
      <c r="L32" s="302">
        <v>1360000000</v>
      </c>
      <c r="M32" s="295">
        <f t="shared" si="6"/>
        <v>106.9</v>
      </c>
      <c r="N32" s="295">
        <f t="shared" si="7"/>
        <v>102.2</v>
      </c>
      <c r="O32" s="296">
        <f t="shared" si="8"/>
        <v>105.1</v>
      </c>
    </row>
    <row r="33" spans="2:15" x14ac:dyDescent="0.2">
      <c r="B33" s="102"/>
      <c r="C33" s="103"/>
      <c r="D33" s="242" t="s">
        <v>77</v>
      </c>
      <c r="E33" s="104">
        <v>42953009</v>
      </c>
      <c r="F33" s="104">
        <v>55738287</v>
      </c>
      <c r="G33" s="104">
        <v>50696828</v>
      </c>
      <c r="H33" s="104">
        <v>75516134</v>
      </c>
      <c r="I33" s="104">
        <v>86361105</v>
      </c>
      <c r="J33" s="301">
        <v>102223832</v>
      </c>
      <c r="K33" s="104">
        <v>113513671</v>
      </c>
      <c r="L33" s="302">
        <v>124803510</v>
      </c>
      <c r="M33" s="295">
        <f t="shared" si="6"/>
        <v>118.4</v>
      </c>
      <c r="N33" s="295">
        <f t="shared" si="7"/>
        <v>111</v>
      </c>
      <c r="O33" s="296">
        <f t="shared" si="8"/>
        <v>109.9</v>
      </c>
    </row>
    <row r="34" spans="2:15" x14ac:dyDescent="0.2">
      <c r="B34" s="95" t="s">
        <v>92</v>
      </c>
      <c r="C34" s="96" t="s">
        <v>93</v>
      </c>
      <c r="D34" s="92" t="s">
        <v>70</v>
      </c>
      <c r="E34" s="98">
        <v>1309088</v>
      </c>
      <c r="F34" s="98">
        <v>1200981</v>
      </c>
      <c r="G34" s="98">
        <v>1196149</v>
      </c>
      <c r="H34" s="98">
        <v>975637</v>
      </c>
      <c r="I34" s="98">
        <v>1500000</v>
      </c>
      <c r="J34" s="297">
        <v>1500000</v>
      </c>
      <c r="K34" s="98">
        <v>1500000</v>
      </c>
      <c r="L34" s="303">
        <v>1500000</v>
      </c>
      <c r="M34" s="291">
        <f t="shared" si="6"/>
        <v>100</v>
      </c>
      <c r="N34" s="291">
        <f t="shared" si="7"/>
        <v>100</v>
      </c>
      <c r="O34" s="292">
        <f t="shared" si="8"/>
        <v>100</v>
      </c>
    </row>
    <row r="35" spans="2:15" ht="13.5" thickBot="1" x14ac:dyDescent="0.25">
      <c r="B35" s="106" t="s">
        <v>307</v>
      </c>
      <c r="C35" s="107" t="s">
        <v>308</v>
      </c>
      <c r="D35" s="248" t="s">
        <v>70</v>
      </c>
      <c r="E35" s="243">
        <v>0</v>
      </c>
      <c r="F35" s="243">
        <v>0</v>
      </c>
      <c r="G35" s="243">
        <v>36377520</v>
      </c>
      <c r="H35" s="243">
        <v>160446767</v>
      </c>
      <c r="I35" s="243">
        <v>200000000</v>
      </c>
      <c r="J35" s="304">
        <v>200000000</v>
      </c>
      <c r="K35" s="243">
        <v>200000000</v>
      </c>
      <c r="L35" s="305">
        <v>200000000</v>
      </c>
      <c r="M35" s="306">
        <f t="shared" ref="M35" si="10">IF(I35=0," ",IF(I35&gt;0,ROUND(J35/I35*100,1)))</f>
        <v>100</v>
      </c>
      <c r="N35" s="306">
        <f t="shared" ref="N35" si="11">IF(J35=0," ",IF(J35&gt;0,ROUND(K35/J35*100,1)))</f>
        <v>100</v>
      </c>
      <c r="O35" s="307">
        <f t="shared" ref="O35" si="12">IF(K35=0," ",IF(K35&gt;0,ROUND(L35/K35*100,1)))</f>
        <v>100</v>
      </c>
    </row>
    <row r="36" spans="2:15" ht="13.5" thickBot="1" x14ac:dyDescent="0.25">
      <c r="B36" s="86" t="s">
        <v>94</v>
      </c>
      <c r="C36" s="87" t="s">
        <v>95</v>
      </c>
      <c r="D36" s="247" t="s">
        <v>70</v>
      </c>
      <c r="E36" s="109">
        <v>277672379.52999997</v>
      </c>
      <c r="F36" s="109">
        <v>273894971</v>
      </c>
      <c r="G36" s="109">
        <v>155614415</v>
      </c>
      <c r="H36" s="109">
        <v>178545538</v>
      </c>
      <c r="I36" s="109">
        <v>200000000</v>
      </c>
      <c r="J36" s="308">
        <v>200000000</v>
      </c>
      <c r="K36" s="109">
        <v>200000000</v>
      </c>
      <c r="L36" s="309">
        <v>200000000</v>
      </c>
      <c r="M36" s="286">
        <f t="shared" si="6"/>
        <v>100</v>
      </c>
      <c r="N36" s="286">
        <f t="shared" si="7"/>
        <v>100</v>
      </c>
      <c r="O36" s="310">
        <f t="shared" si="8"/>
        <v>100</v>
      </c>
    </row>
    <row r="37" spans="2:15" ht="13.5" thickBot="1" x14ac:dyDescent="0.25">
      <c r="B37" s="86" t="s">
        <v>96</v>
      </c>
      <c r="C37" s="87" t="s">
        <v>97</v>
      </c>
      <c r="D37" s="108"/>
      <c r="E37" s="89">
        <f>SUM(E8,E36)</f>
        <v>603688908058.55994</v>
      </c>
      <c r="F37" s="89">
        <f>SUM(F8,F36)</f>
        <v>688965650969</v>
      </c>
      <c r="G37" s="89">
        <v>693775042713</v>
      </c>
      <c r="H37" s="89">
        <f>+H36+H8</f>
        <v>769155557267</v>
      </c>
      <c r="I37" s="89">
        <v>859387938409</v>
      </c>
      <c r="J37" s="284">
        <v>897864153762</v>
      </c>
      <c r="K37" s="89">
        <v>913031433934</v>
      </c>
      <c r="L37" s="311">
        <v>934664638930</v>
      </c>
      <c r="M37" s="312">
        <f t="shared" si="6"/>
        <v>104.5</v>
      </c>
      <c r="N37" s="312">
        <f t="shared" si="7"/>
        <v>101.7</v>
      </c>
      <c r="O37" s="313">
        <f t="shared" si="8"/>
        <v>102.4</v>
      </c>
    </row>
    <row r="38" spans="2:15" x14ac:dyDescent="0.2">
      <c r="B38" s="95" t="s">
        <v>98</v>
      </c>
      <c r="C38" s="96" t="s">
        <v>99</v>
      </c>
      <c r="D38" s="92" t="s">
        <v>309</v>
      </c>
      <c r="E38" s="101">
        <f>E39+E40</f>
        <v>7813608360</v>
      </c>
      <c r="F38" s="101">
        <f>F39+F40</f>
        <v>8737160759</v>
      </c>
      <c r="G38" s="101">
        <v>9526898471</v>
      </c>
      <c r="H38" s="101">
        <v>10259065671</v>
      </c>
      <c r="I38" s="98">
        <v>11000000000</v>
      </c>
      <c r="J38" s="297">
        <v>10800000000</v>
      </c>
      <c r="K38" s="98">
        <v>10800000000</v>
      </c>
      <c r="L38" s="290">
        <v>10800000000</v>
      </c>
      <c r="M38" s="291">
        <f t="shared" si="6"/>
        <v>98.2</v>
      </c>
      <c r="N38" s="291">
        <f t="shared" si="7"/>
        <v>100</v>
      </c>
      <c r="O38" s="314">
        <f t="shared" si="8"/>
        <v>100</v>
      </c>
    </row>
    <row r="39" spans="2:15" x14ac:dyDescent="0.2">
      <c r="B39" s="95" t="s">
        <v>100</v>
      </c>
      <c r="C39" s="96" t="s">
        <v>347</v>
      </c>
      <c r="D39" s="92" t="s">
        <v>70</v>
      </c>
      <c r="E39" s="100">
        <v>7404748871</v>
      </c>
      <c r="F39" s="100">
        <v>8406392750</v>
      </c>
      <c r="G39" s="100">
        <v>9154299153</v>
      </c>
      <c r="H39" s="100">
        <v>10011452816</v>
      </c>
      <c r="I39" s="100">
        <v>10500000000</v>
      </c>
      <c r="J39" s="299">
        <v>10500000000</v>
      </c>
      <c r="K39" s="100">
        <v>10500000000</v>
      </c>
      <c r="L39" s="300">
        <v>10500000000</v>
      </c>
      <c r="M39" s="291">
        <f t="shared" si="6"/>
        <v>100</v>
      </c>
      <c r="N39" s="291">
        <f t="shared" si="7"/>
        <v>100</v>
      </c>
      <c r="O39" s="314">
        <f t="shared" si="8"/>
        <v>100</v>
      </c>
    </row>
    <row r="40" spans="2:15" ht="13.5" thickBot="1" x14ac:dyDescent="0.25">
      <c r="B40" s="102" t="s">
        <v>101</v>
      </c>
      <c r="C40" s="110" t="s">
        <v>102</v>
      </c>
      <c r="D40" s="246" t="s">
        <v>103</v>
      </c>
      <c r="E40" s="111">
        <v>408859489</v>
      </c>
      <c r="F40" s="111">
        <v>330768009</v>
      </c>
      <c r="G40" s="111">
        <v>372599318</v>
      </c>
      <c r="H40" s="111">
        <v>247612855</v>
      </c>
      <c r="I40" s="111">
        <v>500000000</v>
      </c>
      <c r="J40" s="315">
        <v>300000000</v>
      </c>
      <c r="K40" s="111">
        <v>300000000</v>
      </c>
      <c r="L40" s="316">
        <v>300000000</v>
      </c>
      <c r="M40" s="317">
        <f t="shared" si="6"/>
        <v>60</v>
      </c>
      <c r="N40" s="317">
        <f t="shared" si="7"/>
        <v>100</v>
      </c>
      <c r="O40" s="318">
        <f t="shared" si="8"/>
        <v>100</v>
      </c>
    </row>
    <row r="41" spans="2:15" ht="13.5" thickBot="1" x14ac:dyDescent="0.25">
      <c r="B41" s="86" t="s">
        <v>104</v>
      </c>
      <c r="C41" s="87" t="s">
        <v>105</v>
      </c>
      <c r="D41" s="108"/>
      <c r="E41" s="112">
        <f>SUM(E37,E38)</f>
        <v>611502516418.55994</v>
      </c>
      <c r="F41" s="112">
        <f>SUM(F37,F38)</f>
        <v>697702811728</v>
      </c>
      <c r="G41" s="112">
        <v>703301941184</v>
      </c>
      <c r="H41" s="112">
        <f>+H37+H38</f>
        <v>779414622938</v>
      </c>
      <c r="I41" s="89">
        <v>870387938409</v>
      </c>
      <c r="J41" s="284">
        <v>908664153762</v>
      </c>
      <c r="K41" s="89">
        <v>923831433934</v>
      </c>
      <c r="L41" s="285">
        <v>945464638930</v>
      </c>
      <c r="M41" s="286">
        <f t="shared" si="6"/>
        <v>104.4</v>
      </c>
      <c r="N41" s="319">
        <f t="shared" si="7"/>
        <v>101.7</v>
      </c>
      <c r="O41" s="287">
        <f t="shared" si="8"/>
        <v>102.3</v>
      </c>
    </row>
    <row r="42" spans="2:15" ht="15.75" thickBot="1" x14ac:dyDescent="0.25">
      <c r="B42" s="113" t="s">
        <v>106</v>
      </c>
      <c r="C42" s="114" t="s">
        <v>315</v>
      </c>
      <c r="D42" s="247" t="s">
        <v>70</v>
      </c>
      <c r="E42" s="115">
        <v>1434589954</v>
      </c>
      <c r="F42" s="115">
        <v>21467210568</v>
      </c>
      <c r="G42" s="115">
        <v>25115204842</v>
      </c>
      <c r="H42" s="115">
        <v>2313605367</v>
      </c>
      <c r="I42" s="115">
        <v>500000000</v>
      </c>
      <c r="J42" s="320">
        <v>500000000</v>
      </c>
      <c r="K42" s="115">
        <v>500000000</v>
      </c>
      <c r="L42" s="321">
        <v>500000000</v>
      </c>
      <c r="M42" s="286">
        <f t="shared" si="6"/>
        <v>100</v>
      </c>
      <c r="N42" s="319">
        <f t="shared" si="7"/>
        <v>100</v>
      </c>
      <c r="O42" s="310">
        <f t="shared" si="8"/>
        <v>100</v>
      </c>
    </row>
    <row r="43" spans="2:15" ht="13.5" thickBot="1" x14ac:dyDescent="0.25">
      <c r="B43" s="86" t="s">
        <v>107</v>
      </c>
      <c r="C43" s="87" t="s">
        <v>108</v>
      </c>
      <c r="D43" s="108"/>
      <c r="E43" s="112">
        <f>E41+E42</f>
        <v>612937106372.55994</v>
      </c>
      <c r="F43" s="112">
        <f>F41+F42</f>
        <v>719170022296</v>
      </c>
      <c r="G43" s="112">
        <v>728417146026</v>
      </c>
      <c r="H43" s="112">
        <f>+H41+H42</f>
        <v>781728228305</v>
      </c>
      <c r="I43" s="89">
        <v>870887938409</v>
      </c>
      <c r="J43" s="284">
        <v>909164153762</v>
      </c>
      <c r="K43" s="89">
        <v>924331433934</v>
      </c>
      <c r="L43" s="311">
        <v>945964638930</v>
      </c>
      <c r="M43" s="312">
        <f t="shared" si="6"/>
        <v>104.4</v>
      </c>
      <c r="N43" s="322">
        <f t="shared" si="7"/>
        <v>101.7</v>
      </c>
      <c r="O43" s="287">
        <f t="shared" si="8"/>
        <v>102.3</v>
      </c>
    </row>
    <row r="44" spans="2:15" x14ac:dyDescent="0.2">
      <c r="B44" s="74" t="s">
        <v>109</v>
      </c>
    </row>
    <row r="45" spans="2:15" ht="17.25" customHeight="1" x14ac:dyDescent="0.2">
      <c r="B45" s="74" t="s">
        <v>110</v>
      </c>
      <c r="C45" s="116"/>
    </row>
  </sheetData>
  <mergeCells count="2">
    <mergeCell ref="M6:O6"/>
    <mergeCell ref="B3:L3"/>
  </mergeCells>
  <printOptions verticalCentered="1"/>
  <pageMargins left="0.23622047244094491" right="0.23622047244094491" top="0.39370078740157483" bottom="0.74803149606299213" header="0.31496062992125984" footer="0.31496062992125984"/>
  <pageSetup paperSize="9" scale="6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9"/>
  <sheetViews>
    <sheetView showGridLines="0" zoomScale="85" zoomScaleNormal="85" workbookViewId="0"/>
  </sheetViews>
  <sheetFormatPr defaultRowHeight="15" x14ac:dyDescent="0.25"/>
  <cols>
    <col min="1" max="1" width="3.33203125" style="66" customWidth="1"/>
    <col min="2" max="2" width="64.83203125" style="8" customWidth="1"/>
    <col min="3" max="3" width="111.83203125" style="8" customWidth="1"/>
    <col min="4" max="4" width="24.1640625" style="8" customWidth="1"/>
    <col min="5" max="5" width="24.5" style="8" customWidth="1"/>
    <col min="6" max="6" width="24.1640625" style="8" customWidth="1"/>
    <col min="7" max="7" width="9.33203125" style="8"/>
    <col min="8" max="8" width="14.33203125" style="8" bestFit="1" customWidth="1"/>
    <col min="9" max="16384" width="9.33203125" style="8"/>
  </cols>
  <sheetData>
    <row r="1" spans="2:6" x14ac:dyDescent="0.25">
      <c r="B1" s="71"/>
      <c r="C1" s="72"/>
      <c r="D1" s="71"/>
      <c r="E1" s="71"/>
      <c r="F1" s="73" t="s">
        <v>125</v>
      </c>
    </row>
    <row r="2" spans="2:6" ht="21.75" customHeight="1" x14ac:dyDescent="0.25">
      <c r="B2" s="473" t="s">
        <v>325</v>
      </c>
      <c r="C2" s="473"/>
      <c r="D2" s="473"/>
      <c r="E2" s="473"/>
      <c r="F2" s="473"/>
    </row>
    <row r="3" spans="2:6" ht="15.75" x14ac:dyDescent="0.25">
      <c r="B3" s="252"/>
      <c r="C3" s="252"/>
      <c r="D3" s="252"/>
      <c r="E3" s="252"/>
      <c r="F3" s="378" t="s">
        <v>2</v>
      </c>
    </row>
    <row r="4" spans="2:6" x14ac:dyDescent="0.25">
      <c r="B4" s="474" t="s">
        <v>4</v>
      </c>
      <c r="C4" s="474" t="s">
        <v>305</v>
      </c>
      <c r="D4" s="474" t="s">
        <v>311</v>
      </c>
      <c r="E4" s="474" t="s">
        <v>384</v>
      </c>
      <c r="F4" s="474" t="s">
        <v>309</v>
      </c>
    </row>
    <row r="5" spans="2:6" x14ac:dyDescent="0.25">
      <c r="B5" s="475"/>
      <c r="C5" s="475"/>
      <c r="D5" s="475"/>
      <c r="E5" s="475"/>
      <c r="F5" s="475"/>
    </row>
    <row r="6" spans="2:6" x14ac:dyDescent="0.25">
      <c r="B6" s="475"/>
      <c r="C6" s="475"/>
      <c r="D6" s="475"/>
      <c r="E6" s="475"/>
      <c r="F6" s="475"/>
    </row>
    <row r="7" spans="2:6" x14ac:dyDescent="0.25">
      <c r="B7" s="476"/>
      <c r="C7" s="476"/>
      <c r="D7" s="476"/>
      <c r="E7" s="476"/>
      <c r="F7" s="476"/>
    </row>
    <row r="8" spans="2:6" x14ac:dyDescent="0.25">
      <c r="B8" s="477" t="s">
        <v>201</v>
      </c>
      <c r="C8" s="323" t="s">
        <v>294</v>
      </c>
      <c r="D8" s="324">
        <v>3908520</v>
      </c>
      <c r="E8" s="324">
        <v>12891480</v>
      </c>
      <c r="F8" s="324">
        <f>D8+E8</f>
        <v>16800000</v>
      </c>
    </row>
    <row r="9" spans="2:6" x14ac:dyDescent="0.25">
      <c r="B9" s="477"/>
      <c r="C9" s="323" t="s">
        <v>292</v>
      </c>
      <c r="D9" s="324">
        <v>192000</v>
      </c>
      <c r="E9" s="324">
        <v>2918400</v>
      </c>
      <c r="F9" s="324">
        <f t="shared" ref="F9:F72" si="0">D9+E9</f>
        <v>3110400</v>
      </c>
    </row>
    <row r="10" spans="2:6" x14ac:dyDescent="0.25">
      <c r="B10" s="478"/>
      <c r="C10" s="323" t="s">
        <v>348</v>
      </c>
      <c r="D10" s="324">
        <v>1200000</v>
      </c>
      <c r="E10" s="324">
        <v>0</v>
      </c>
      <c r="F10" s="324">
        <f t="shared" si="0"/>
        <v>1200000</v>
      </c>
    </row>
    <row r="11" spans="2:6" x14ac:dyDescent="0.25">
      <c r="B11" s="479" t="s">
        <v>203</v>
      </c>
      <c r="C11" s="479"/>
      <c r="D11" s="325">
        <v>5300520</v>
      </c>
      <c r="E11" s="325">
        <v>15809880</v>
      </c>
      <c r="F11" s="325">
        <f t="shared" si="0"/>
        <v>21110400</v>
      </c>
    </row>
    <row r="12" spans="2:6" x14ac:dyDescent="0.25">
      <c r="B12" s="480" t="s">
        <v>204</v>
      </c>
      <c r="C12" s="323" t="s">
        <v>205</v>
      </c>
      <c r="D12" s="324">
        <v>0</v>
      </c>
      <c r="E12" s="324">
        <v>20000000</v>
      </c>
      <c r="F12" s="324">
        <f t="shared" si="0"/>
        <v>20000000</v>
      </c>
    </row>
    <row r="13" spans="2:6" x14ac:dyDescent="0.25">
      <c r="B13" s="477"/>
      <c r="C13" s="323" t="s">
        <v>209</v>
      </c>
      <c r="D13" s="324">
        <v>7454085</v>
      </c>
      <c r="E13" s="324">
        <v>2994826</v>
      </c>
      <c r="F13" s="324">
        <f t="shared" si="0"/>
        <v>10448911</v>
      </c>
    </row>
    <row r="14" spans="2:6" x14ac:dyDescent="0.25">
      <c r="B14" s="477"/>
      <c r="C14" s="323" t="s">
        <v>293</v>
      </c>
      <c r="D14" s="324">
        <v>1250000</v>
      </c>
      <c r="E14" s="324">
        <v>3750000</v>
      </c>
      <c r="F14" s="324">
        <f t="shared" si="0"/>
        <v>5000000</v>
      </c>
    </row>
    <row r="15" spans="2:6" x14ac:dyDescent="0.25">
      <c r="B15" s="477"/>
      <c r="C15" s="323" t="s">
        <v>278</v>
      </c>
      <c r="D15" s="324">
        <v>82831974</v>
      </c>
      <c r="E15" s="324">
        <v>384100867</v>
      </c>
      <c r="F15" s="324">
        <f t="shared" si="0"/>
        <v>466932841</v>
      </c>
    </row>
    <row r="16" spans="2:6" x14ac:dyDescent="0.25">
      <c r="B16" s="478"/>
      <c r="C16" s="323" t="s">
        <v>349</v>
      </c>
      <c r="D16" s="324">
        <v>9375000</v>
      </c>
      <c r="E16" s="324">
        <v>28125000</v>
      </c>
      <c r="F16" s="324">
        <f t="shared" si="0"/>
        <v>37500000</v>
      </c>
    </row>
    <row r="17" spans="2:6" x14ac:dyDescent="0.25">
      <c r="B17" s="479" t="s">
        <v>203</v>
      </c>
      <c r="C17" s="479"/>
      <c r="D17" s="325">
        <v>100911059</v>
      </c>
      <c r="E17" s="325">
        <v>438970693</v>
      </c>
      <c r="F17" s="325">
        <f t="shared" si="0"/>
        <v>539881752</v>
      </c>
    </row>
    <row r="18" spans="2:6" x14ac:dyDescent="0.25">
      <c r="B18" s="480" t="s">
        <v>206</v>
      </c>
      <c r="C18" s="323" t="s">
        <v>254</v>
      </c>
      <c r="D18" s="324">
        <v>243300</v>
      </c>
      <c r="E18" s="324">
        <v>1378700</v>
      </c>
      <c r="F18" s="324">
        <f t="shared" si="0"/>
        <v>1622000</v>
      </c>
    </row>
    <row r="19" spans="2:6" x14ac:dyDescent="0.25">
      <c r="B19" s="477"/>
      <c r="C19" s="323" t="s">
        <v>208</v>
      </c>
      <c r="D19" s="324">
        <v>6340881</v>
      </c>
      <c r="E19" s="324">
        <v>14586119</v>
      </c>
      <c r="F19" s="324">
        <f t="shared" si="0"/>
        <v>20927000</v>
      </c>
    </row>
    <row r="20" spans="2:6" x14ac:dyDescent="0.25">
      <c r="B20" s="477"/>
      <c r="C20" s="323" t="s">
        <v>294</v>
      </c>
      <c r="D20" s="324">
        <v>5005686</v>
      </c>
      <c r="E20" s="324">
        <v>24853708</v>
      </c>
      <c r="F20" s="324">
        <f t="shared" si="0"/>
        <v>29859394</v>
      </c>
    </row>
    <row r="21" spans="2:6" x14ac:dyDescent="0.25">
      <c r="B21" s="478"/>
      <c r="C21" s="323" t="s">
        <v>228</v>
      </c>
      <c r="D21" s="324">
        <v>4700000</v>
      </c>
      <c r="E21" s="324">
        <v>4500000</v>
      </c>
      <c r="F21" s="324">
        <f t="shared" si="0"/>
        <v>9200000</v>
      </c>
    </row>
    <row r="22" spans="2:6" x14ac:dyDescent="0.25">
      <c r="B22" s="479" t="s">
        <v>203</v>
      </c>
      <c r="C22" s="479"/>
      <c r="D22" s="325">
        <v>16289867</v>
      </c>
      <c r="E22" s="325">
        <v>45318527</v>
      </c>
      <c r="F22" s="325">
        <f t="shared" si="0"/>
        <v>61608394</v>
      </c>
    </row>
    <row r="23" spans="2:6" x14ac:dyDescent="0.25">
      <c r="B23" s="480" t="s">
        <v>210</v>
      </c>
      <c r="C23" s="323" t="s">
        <v>350</v>
      </c>
      <c r="D23" s="324">
        <v>23202</v>
      </c>
      <c r="E23" s="324">
        <v>0</v>
      </c>
      <c r="F23" s="324">
        <f t="shared" si="0"/>
        <v>23202</v>
      </c>
    </row>
    <row r="24" spans="2:6" x14ac:dyDescent="0.25">
      <c r="B24" s="477"/>
      <c r="C24" s="323" t="s">
        <v>351</v>
      </c>
      <c r="D24" s="324">
        <v>68963257</v>
      </c>
      <c r="E24" s="324">
        <v>150246078</v>
      </c>
      <c r="F24" s="324">
        <f t="shared" si="0"/>
        <v>219209335</v>
      </c>
    </row>
    <row r="25" spans="2:6" x14ac:dyDescent="0.25">
      <c r="B25" s="477"/>
      <c r="C25" s="323" t="s">
        <v>352</v>
      </c>
      <c r="D25" s="324">
        <v>17953565</v>
      </c>
      <c r="E25" s="324">
        <v>39114347</v>
      </c>
      <c r="F25" s="324">
        <f t="shared" si="0"/>
        <v>57067912</v>
      </c>
    </row>
    <row r="26" spans="2:6" x14ac:dyDescent="0.25">
      <c r="B26" s="477"/>
      <c r="C26" s="323" t="s">
        <v>353</v>
      </c>
      <c r="D26" s="324">
        <v>2808999</v>
      </c>
      <c r="E26" s="324">
        <v>6119794</v>
      </c>
      <c r="F26" s="324">
        <f t="shared" si="0"/>
        <v>8928793</v>
      </c>
    </row>
    <row r="27" spans="2:6" x14ac:dyDescent="0.25">
      <c r="B27" s="478"/>
      <c r="C27" s="323" t="s">
        <v>295</v>
      </c>
      <c r="D27" s="324">
        <v>1586778</v>
      </c>
      <c r="E27" s="324">
        <v>3173553</v>
      </c>
      <c r="F27" s="324">
        <f t="shared" si="0"/>
        <v>4760331</v>
      </c>
    </row>
    <row r="28" spans="2:6" x14ac:dyDescent="0.25">
      <c r="B28" s="479" t="s">
        <v>203</v>
      </c>
      <c r="C28" s="479"/>
      <c r="D28" s="325">
        <v>91335801</v>
      </c>
      <c r="E28" s="325">
        <v>198653772</v>
      </c>
      <c r="F28" s="325">
        <f t="shared" si="0"/>
        <v>289989573</v>
      </c>
    </row>
    <row r="29" spans="2:6" x14ac:dyDescent="0.25">
      <c r="B29" s="480" t="s">
        <v>211</v>
      </c>
      <c r="C29" s="323" t="s">
        <v>202</v>
      </c>
      <c r="D29" s="324">
        <v>13000000</v>
      </c>
      <c r="E29" s="324">
        <v>87000000</v>
      </c>
      <c r="F29" s="324">
        <f t="shared" si="0"/>
        <v>100000000</v>
      </c>
    </row>
    <row r="30" spans="2:6" x14ac:dyDescent="0.25">
      <c r="B30" s="477"/>
      <c r="C30" s="323" t="s">
        <v>294</v>
      </c>
      <c r="D30" s="324">
        <v>898584023</v>
      </c>
      <c r="E30" s="324">
        <v>3128885527</v>
      </c>
      <c r="F30" s="324">
        <f t="shared" si="0"/>
        <v>4027469550</v>
      </c>
    </row>
    <row r="31" spans="2:6" x14ac:dyDescent="0.25">
      <c r="B31" s="477"/>
      <c r="C31" s="323" t="s">
        <v>354</v>
      </c>
      <c r="D31" s="324">
        <v>1804937</v>
      </c>
      <c r="E31" s="324">
        <v>3925022</v>
      </c>
      <c r="F31" s="324">
        <f t="shared" si="0"/>
        <v>5729959</v>
      </c>
    </row>
    <row r="32" spans="2:6" x14ac:dyDescent="0.25">
      <c r="B32" s="478"/>
      <c r="C32" s="323" t="s">
        <v>355</v>
      </c>
      <c r="D32" s="324">
        <v>440562</v>
      </c>
      <c r="E32" s="324">
        <v>3965058</v>
      </c>
      <c r="F32" s="324">
        <f t="shared" si="0"/>
        <v>4405620</v>
      </c>
    </row>
    <row r="33" spans="2:6" x14ac:dyDescent="0.25">
      <c r="B33" s="479" t="s">
        <v>203</v>
      </c>
      <c r="C33" s="479"/>
      <c r="D33" s="325">
        <v>913829522</v>
      </c>
      <c r="E33" s="325">
        <v>3223775607</v>
      </c>
      <c r="F33" s="325">
        <f t="shared" si="0"/>
        <v>4137605129</v>
      </c>
    </row>
    <row r="34" spans="2:6" x14ac:dyDescent="0.25">
      <c r="B34" s="480" t="s">
        <v>213</v>
      </c>
      <c r="C34" s="323" t="s">
        <v>214</v>
      </c>
      <c r="D34" s="324">
        <v>168571</v>
      </c>
      <c r="E34" s="324">
        <v>0</v>
      </c>
      <c r="F34" s="324">
        <f t="shared" si="0"/>
        <v>168571</v>
      </c>
    </row>
    <row r="35" spans="2:6" x14ac:dyDescent="0.25">
      <c r="B35" s="477"/>
      <c r="C35" s="323" t="s">
        <v>228</v>
      </c>
      <c r="D35" s="324">
        <v>16777334</v>
      </c>
      <c r="E35" s="324">
        <v>0</v>
      </c>
      <c r="F35" s="324">
        <f t="shared" si="0"/>
        <v>16777334</v>
      </c>
    </row>
    <row r="36" spans="2:6" x14ac:dyDescent="0.25">
      <c r="B36" s="477"/>
      <c r="C36" s="323" t="s">
        <v>209</v>
      </c>
      <c r="D36" s="324">
        <v>137483547</v>
      </c>
      <c r="E36" s="324">
        <v>0</v>
      </c>
      <c r="F36" s="324">
        <f t="shared" si="0"/>
        <v>137483547</v>
      </c>
    </row>
    <row r="37" spans="2:6" x14ac:dyDescent="0.25">
      <c r="B37" s="477"/>
      <c r="C37" s="323" t="s">
        <v>220</v>
      </c>
      <c r="D37" s="324">
        <v>332196</v>
      </c>
      <c r="E37" s="324">
        <v>0</v>
      </c>
      <c r="F37" s="324">
        <f t="shared" si="0"/>
        <v>332196</v>
      </c>
    </row>
    <row r="38" spans="2:6" x14ac:dyDescent="0.25">
      <c r="B38" s="477"/>
      <c r="C38" s="323" t="s">
        <v>296</v>
      </c>
      <c r="D38" s="324">
        <v>33545482</v>
      </c>
      <c r="E38" s="324">
        <v>0</v>
      </c>
      <c r="F38" s="324">
        <f t="shared" si="0"/>
        <v>33545482</v>
      </c>
    </row>
    <row r="39" spans="2:6" x14ac:dyDescent="0.25">
      <c r="B39" s="477"/>
      <c r="C39" s="323" t="s">
        <v>297</v>
      </c>
      <c r="D39" s="324">
        <v>51858725</v>
      </c>
      <c r="E39" s="324">
        <v>0</v>
      </c>
      <c r="F39" s="324">
        <f t="shared" si="0"/>
        <v>51858725</v>
      </c>
    </row>
    <row r="40" spans="2:6" x14ac:dyDescent="0.25">
      <c r="B40" s="477"/>
      <c r="C40" s="323" t="s">
        <v>293</v>
      </c>
      <c r="D40" s="324">
        <v>15175000</v>
      </c>
      <c r="E40" s="324">
        <v>0</v>
      </c>
      <c r="F40" s="324">
        <f t="shared" si="0"/>
        <v>15175000</v>
      </c>
    </row>
    <row r="41" spans="2:6" x14ac:dyDescent="0.25">
      <c r="B41" s="477"/>
      <c r="C41" s="323" t="s">
        <v>278</v>
      </c>
      <c r="D41" s="324">
        <v>42330620</v>
      </c>
      <c r="E41" s="324">
        <v>0</v>
      </c>
      <c r="F41" s="324">
        <f t="shared" si="0"/>
        <v>42330620</v>
      </c>
    </row>
    <row r="42" spans="2:6" x14ac:dyDescent="0.25">
      <c r="B42" s="477"/>
      <c r="C42" s="323" t="s">
        <v>285</v>
      </c>
      <c r="D42" s="324">
        <v>36997524</v>
      </c>
      <c r="E42" s="324">
        <v>0</v>
      </c>
      <c r="F42" s="324">
        <f t="shared" si="0"/>
        <v>36997524</v>
      </c>
    </row>
    <row r="43" spans="2:6" x14ac:dyDescent="0.25">
      <c r="B43" s="477"/>
      <c r="C43" s="323" t="s">
        <v>356</v>
      </c>
      <c r="D43" s="324">
        <v>52123</v>
      </c>
      <c r="E43" s="324">
        <v>0</v>
      </c>
      <c r="F43" s="324">
        <f t="shared" si="0"/>
        <v>52123</v>
      </c>
    </row>
    <row r="44" spans="2:6" x14ac:dyDescent="0.25">
      <c r="B44" s="477"/>
      <c r="C44" s="323" t="s">
        <v>292</v>
      </c>
      <c r="D44" s="324">
        <v>559500</v>
      </c>
      <c r="E44" s="324">
        <v>0</v>
      </c>
      <c r="F44" s="324">
        <f t="shared" si="0"/>
        <v>559500</v>
      </c>
    </row>
    <row r="45" spans="2:6" x14ac:dyDescent="0.25">
      <c r="B45" s="479" t="s">
        <v>203</v>
      </c>
      <c r="C45" s="479"/>
      <c r="D45" s="325">
        <v>335280622</v>
      </c>
      <c r="E45" s="325">
        <v>0</v>
      </c>
      <c r="F45" s="325">
        <f t="shared" si="0"/>
        <v>335280622</v>
      </c>
    </row>
    <row r="46" spans="2:6" x14ac:dyDescent="0.25">
      <c r="B46" s="480" t="s">
        <v>221</v>
      </c>
      <c r="C46" s="323" t="s">
        <v>222</v>
      </c>
      <c r="D46" s="324">
        <v>64025798</v>
      </c>
      <c r="E46" s="324">
        <v>4000000</v>
      </c>
      <c r="F46" s="324">
        <f t="shared" si="0"/>
        <v>68025798</v>
      </c>
    </row>
    <row r="47" spans="2:6" x14ac:dyDescent="0.25">
      <c r="B47" s="477"/>
      <c r="C47" s="323" t="s">
        <v>200</v>
      </c>
      <c r="D47" s="324">
        <v>0</v>
      </c>
      <c r="E47" s="324">
        <v>1500000000</v>
      </c>
      <c r="F47" s="324">
        <f t="shared" si="0"/>
        <v>1500000000</v>
      </c>
    </row>
    <row r="48" spans="2:6" x14ac:dyDescent="0.25">
      <c r="B48" s="477"/>
      <c r="C48" s="323" t="s">
        <v>207</v>
      </c>
      <c r="D48" s="324">
        <v>20000000</v>
      </c>
      <c r="E48" s="324">
        <v>3500000000</v>
      </c>
      <c r="F48" s="324">
        <f t="shared" si="0"/>
        <v>3520000000</v>
      </c>
    </row>
    <row r="49" spans="2:6" x14ac:dyDescent="0.25">
      <c r="B49" s="477"/>
      <c r="C49" s="323" t="s">
        <v>216</v>
      </c>
      <c r="D49" s="324">
        <v>2000000</v>
      </c>
      <c r="E49" s="324">
        <v>0</v>
      </c>
      <c r="F49" s="324">
        <f t="shared" si="0"/>
        <v>2000000</v>
      </c>
    </row>
    <row r="50" spans="2:6" x14ac:dyDescent="0.25">
      <c r="B50" s="477"/>
      <c r="C50" s="323" t="s">
        <v>223</v>
      </c>
      <c r="D50" s="324">
        <v>200000</v>
      </c>
      <c r="E50" s="324">
        <v>0</v>
      </c>
      <c r="F50" s="324">
        <f t="shared" si="0"/>
        <v>200000</v>
      </c>
    </row>
    <row r="51" spans="2:6" x14ac:dyDescent="0.25">
      <c r="B51" s="477"/>
      <c r="C51" s="323" t="s">
        <v>224</v>
      </c>
      <c r="D51" s="324">
        <v>1000000</v>
      </c>
      <c r="E51" s="324">
        <v>0</v>
      </c>
      <c r="F51" s="324">
        <f t="shared" si="0"/>
        <v>1000000</v>
      </c>
    </row>
    <row r="52" spans="2:6" x14ac:dyDescent="0.25">
      <c r="B52" s="477"/>
      <c r="C52" s="323" t="s">
        <v>217</v>
      </c>
      <c r="D52" s="324">
        <v>5000000</v>
      </c>
      <c r="E52" s="324">
        <v>3500000</v>
      </c>
      <c r="F52" s="324">
        <f t="shared" si="0"/>
        <v>8500000</v>
      </c>
    </row>
    <row r="53" spans="2:6" x14ac:dyDescent="0.25">
      <c r="B53" s="477"/>
      <c r="C53" s="323" t="s">
        <v>225</v>
      </c>
      <c r="D53" s="324">
        <v>1000000</v>
      </c>
      <c r="E53" s="324">
        <v>0</v>
      </c>
      <c r="F53" s="324">
        <f t="shared" si="0"/>
        <v>1000000</v>
      </c>
    </row>
    <row r="54" spans="2:6" x14ac:dyDescent="0.25">
      <c r="B54" s="477"/>
      <c r="C54" s="323" t="s">
        <v>226</v>
      </c>
      <c r="D54" s="324">
        <v>12000000</v>
      </c>
      <c r="E54" s="324">
        <v>2500000</v>
      </c>
      <c r="F54" s="324">
        <f t="shared" si="0"/>
        <v>14500000</v>
      </c>
    </row>
    <row r="55" spans="2:6" x14ac:dyDescent="0.25">
      <c r="B55" s="477"/>
      <c r="C55" s="323" t="s">
        <v>227</v>
      </c>
      <c r="D55" s="324">
        <v>10000000</v>
      </c>
      <c r="E55" s="324">
        <v>1000000000</v>
      </c>
      <c r="F55" s="324">
        <f t="shared" si="0"/>
        <v>1010000000</v>
      </c>
    </row>
    <row r="56" spans="2:6" x14ac:dyDescent="0.25">
      <c r="B56" s="477"/>
      <c r="C56" s="323" t="s">
        <v>228</v>
      </c>
      <c r="D56" s="324">
        <v>8000000</v>
      </c>
      <c r="E56" s="324">
        <v>40000000</v>
      </c>
      <c r="F56" s="324">
        <f t="shared" si="0"/>
        <v>48000000</v>
      </c>
    </row>
    <row r="57" spans="2:6" x14ac:dyDescent="0.25">
      <c r="B57" s="477"/>
      <c r="C57" s="323" t="s">
        <v>212</v>
      </c>
      <c r="D57" s="324">
        <v>2000000</v>
      </c>
      <c r="E57" s="324">
        <v>800000000</v>
      </c>
      <c r="F57" s="324">
        <f t="shared" si="0"/>
        <v>802000000</v>
      </c>
    </row>
    <row r="58" spans="2:6" x14ac:dyDescent="0.25">
      <c r="B58" s="477"/>
      <c r="C58" s="323" t="s">
        <v>209</v>
      </c>
      <c r="D58" s="324">
        <v>8984379</v>
      </c>
      <c r="E58" s="324">
        <v>17449205</v>
      </c>
      <c r="F58" s="324">
        <f t="shared" si="0"/>
        <v>26433584</v>
      </c>
    </row>
    <row r="59" spans="2:6" x14ac:dyDescent="0.25">
      <c r="B59" s="477"/>
      <c r="C59" s="323" t="s">
        <v>277</v>
      </c>
      <c r="D59" s="324">
        <v>2256199</v>
      </c>
      <c r="E59" s="324">
        <v>10743802</v>
      </c>
      <c r="F59" s="324">
        <f t="shared" si="0"/>
        <v>13000001</v>
      </c>
    </row>
    <row r="60" spans="2:6" x14ac:dyDescent="0.25">
      <c r="B60" s="477"/>
      <c r="C60" s="323" t="s">
        <v>279</v>
      </c>
      <c r="D60" s="324">
        <v>0</v>
      </c>
      <c r="E60" s="324">
        <v>220000000</v>
      </c>
      <c r="F60" s="324">
        <f t="shared" si="0"/>
        <v>220000000</v>
      </c>
    </row>
    <row r="61" spans="2:6" x14ac:dyDescent="0.25">
      <c r="B61" s="477"/>
      <c r="C61" s="323" t="s">
        <v>357</v>
      </c>
      <c r="D61" s="324">
        <v>0</v>
      </c>
      <c r="E61" s="324">
        <v>150000000</v>
      </c>
      <c r="F61" s="324">
        <f t="shared" si="0"/>
        <v>150000000</v>
      </c>
    </row>
    <row r="62" spans="2:6" x14ac:dyDescent="0.25">
      <c r="B62" s="477"/>
      <c r="C62" s="323" t="s">
        <v>280</v>
      </c>
      <c r="D62" s="324">
        <v>0</v>
      </c>
      <c r="E62" s="324">
        <v>500000000</v>
      </c>
      <c r="F62" s="324">
        <f t="shared" si="0"/>
        <v>500000000</v>
      </c>
    </row>
    <row r="63" spans="2:6" x14ac:dyDescent="0.25">
      <c r="B63" s="479" t="s">
        <v>203</v>
      </c>
      <c r="C63" s="479"/>
      <c r="D63" s="325">
        <v>136466376</v>
      </c>
      <c r="E63" s="325">
        <v>7748193007</v>
      </c>
      <c r="F63" s="325">
        <f t="shared" si="0"/>
        <v>7884659383</v>
      </c>
    </row>
    <row r="64" spans="2:6" x14ac:dyDescent="0.25">
      <c r="B64" s="477" t="s">
        <v>229</v>
      </c>
      <c r="C64" s="326" t="s">
        <v>215</v>
      </c>
      <c r="D64" s="324">
        <v>47315623</v>
      </c>
      <c r="E64" s="324">
        <v>0</v>
      </c>
      <c r="F64" s="324">
        <f t="shared" si="0"/>
        <v>47315623</v>
      </c>
    </row>
    <row r="65" spans="2:6" x14ac:dyDescent="0.25">
      <c r="B65" s="477"/>
      <c r="C65" s="326" t="s">
        <v>358</v>
      </c>
      <c r="D65" s="324">
        <v>26856721</v>
      </c>
      <c r="E65" s="324">
        <v>0</v>
      </c>
      <c r="F65" s="324">
        <f t="shared" si="0"/>
        <v>26856721</v>
      </c>
    </row>
    <row r="66" spans="2:6" x14ac:dyDescent="0.25">
      <c r="B66" s="477"/>
      <c r="C66" s="323" t="s">
        <v>230</v>
      </c>
      <c r="D66" s="324">
        <v>18500000</v>
      </c>
      <c r="E66" s="324">
        <v>1000000</v>
      </c>
      <c r="F66" s="324">
        <f t="shared" si="0"/>
        <v>19500000</v>
      </c>
    </row>
    <row r="67" spans="2:6" x14ac:dyDescent="0.25">
      <c r="B67" s="477"/>
      <c r="C67" s="323" t="s">
        <v>227</v>
      </c>
      <c r="D67" s="324">
        <v>1604517</v>
      </c>
      <c r="E67" s="324">
        <v>3827873</v>
      </c>
      <c r="F67" s="324">
        <f t="shared" si="0"/>
        <v>5432390</v>
      </c>
    </row>
    <row r="68" spans="2:6" x14ac:dyDescent="0.25">
      <c r="B68" s="477"/>
      <c r="C68" s="323" t="s">
        <v>294</v>
      </c>
      <c r="D68" s="324">
        <v>10764152</v>
      </c>
      <c r="E68" s="324">
        <v>35502826</v>
      </c>
      <c r="F68" s="324">
        <f t="shared" si="0"/>
        <v>46266978</v>
      </c>
    </row>
    <row r="69" spans="2:6" x14ac:dyDescent="0.25">
      <c r="B69" s="477"/>
      <c r="C69" s="323" t="s">
        <v>209</v>
      </c>
      <c r="D69" s="324">
        <v>169920480</v>
      </c>
      <c r="E69" s="324">
        <v>5019360098</v>
      </c>
      <c r="F69" s="324">
        <f t="shared" si="0"/>
        <v>5189280578</v>
      </c>
    </row>
    <row r="70" spans="2:6" x14ac:dyDescent="0.25">
      <c r="B70" s="477"/>
      <c r="C70" s="323" t="s">
        <v>298</v>
      </c>
      <c r="D70" s="324">
        <v>96682596</v>
      </c>
      <c r="E70" s="324">
        <v>225592724</v>
      </c>
      <c r="F70" s="324">
        <f t="shared" si="0"/>
        <v>322275320</v>
      </c>
    </row>
    <row r="71" spans="2:6" x14ac:dyDescent="0.25">
      <c r="B71" s="477"/>
      <c r="C71" s="323" t="s">
        <v>359</v>
      </c>
      <c r="D71" s="324">
        <v>31500000</v>
      </c>
      <c r="E71" s="324">
        <v>1500000</v>
      </c>
      <c r="F71" s="324">
        <f t="shared" si="0"/>
        <v>33000000</v>
      </c>
    </row>
    <row r="72" spans="2:6" x14ac:dyDescent="0.25">
      <c r="B72" s="477"/>
      <c r="C72" s="323" t="s">
        <v>231</v>
      </c>
      <c r="D72" s="324">
        <v>1800000</v>
      </c>
      <c r="E72" s="324">
        <v>0</v>
      </c>
      <c r="F72" s="324">
        <f t="shared" si="0"/>
        <v>1800000</v>
      </c>
    </row>
    <row r="73" spans="2:6" x14ac:dyDescent="0.25">
      <c r="B73" s="477"/>
      <c r="C73" s="323" t="s">
        <v>232</v>
      </c>
      <c r="D73" s="324">
        <v>1300000</v>
      </c>
      <c r="E73" s="324">
        <v>0</v>
      </c>
      <c r="F73" s="324">
        <f t="shared" ref="F73:F136" si="1">D73+E73</f>
        <v>1300000</v>
      </c>
    </row>
    <row r="74" spans="2:6" x14ac:dyDescent="0.25">
      <c r="B74" s="477"/>
      <c r="C74" s="323" t="s">
        <v>233</v>
      </c>
      <c r="D74" s="324">
        <v>3444039</v>
      </c>
      <c r="E74" s="324">
        <v>0</v>
      </c>
      <c r="F74" s="324">
        <f t="shared" si="1"/>
        <v>3444039</v>
      </c>
    </row>
    <row r="75" spans="2:6" x14ac:dyDescent="0.25">
      <c r="B75" s="477"/>
      <c r="C75" s="323" t="s">
        <v>281</v>
      </c>
      <c r="D75" s="324">
        <v>0</v>
      </c>
      <c r="E75" s="324">
        <v>312350000</v>
      </c>
      <c r="F75" s="324">
        <f t="shared" si="1"/>
        <v>312350000</v>
      </c>
    </row>
    <row r="76" spans="2:6" x14ac:dyDescent="0.25">
      <c r="B76" s="478"/>
      <c r="C76" s="323" t="s">
        <v>292</v>
      </c>
      <c r="D76" s="324">
        <v>0</v>
      </c>
      <c r="E76" s="324">
        <v>3390000</v>
      </c>
      <c r="F76" s="324">
        <f t="shared" si="1"/>
        <v>3390000</v>
      </c>
    </row>
    <row r="77" spans="2:6" x14ac:dyDescent="0.25">
      <c r="B77" s="479" t="s">
        <v>203</v>
      </c>
      <c r="C77" s="479"/>
      <c r="D77" s="325">
        <v>409688128</v>
      </c>
      <c r="E77" s="325">
        <v>5602523521</v>
      </c>
      <c r="F77" s="325">
        <f t="shared" si="1"/>
        <v>6012211649</v>
      </c>
    </row>
    <row r="78" spans="2:6" x14ac:dyDescent="0.25">
      <c r="B78" s="477" t="s">
        <v>234</v>
      </c>
      <c r="C78" s="323" t="s">
        <v>254</v>
      </c>
      <c r="D78" s="324">
        <v>55000000</v>
      </c>
      <c r="E78" s="324">
        <v>4909187856</v>
      </c>
      <c r="F78" s="324">
        <f t="shared" si="1"/>
        <v>4964187856</v>
      </c>
    </row>
    <row r="79" spans="2:6" x14ac:dyDescent="0.25">
      <c r="B79" s="477"/>
      <c r="C79" s="323" t="s">
        <v>360</v>
      </c>
      <c r="D79" s="324">
        <v>19000000</v>
      </c>
      <c r="E79" s="324">
        <v>0</v>
      </c>
      <c r="F79" s="324">
        <f t="shared" si="1"/>
        <v>19000000</v>
      </c>
    </row>
    <row r="80" spans="2:6" x14ac:dyDescent="0.25">
      <c r="B80" s="477"/>
      <c r="C80" s="323" t="s">
        <v>277</v>
      </c>
      <c r="D80" s="324">
        <v>0</v>
      </c>
      <c r="E80" s="324">
        <v>64400000</v>
      </c>
      <c r="F80" s="324">
        <f t="shared" si="1"/>
        <v>64400000</v>
      </c>
    </row>
    <row r="81" spans="2:6" x14ac:dyDescent="0.25">
      <c r="B81" s="477"/>
      <c r="C81" s="323" t="s">
        <v>283</v>
      </c>
      <c r="D81" s="324">
        <v>0</v>
      </c>
      <c r="E81" s="324">
        <v>3226134343</v>
      </c>
      <c r="F81" s="324">
        <f t="shared" si="1"/>
        <v>3226134343</v>
      </c>
    </row>
    <row r="82" spans="2:6" x14ac:dyDescent="0.25">
      <c r="B82" s="477"/>
      <c r="C82" s="323" t="s">
        <v>281</v>
      </c>
      <c r="D82" s="324">
        <v>0</v>
      </c>
      <c r="E82" s="324">
        <v>1156818405</v>
      </c>
      <c r="F82" s="324">
        <f t="shared" si="1"/>
        <v>1156818405</v>
      </c>
    </row>
    <row r="83" spans="2:6" x14ac:dyDescent="0.25">
      <c r="B83" s="477"/>
      <c r="C83" s="323" t="s">
        <v>284</v>
      </c>
      <c r="D83" s="324">
        <v>0</v>
      </c>
      <c r="E83" s="324">
        <v>5000000000</v>
      </c>
      <c r="F83" s="324">
        <f t="shared" si="1"/>
        <v>5000000000</v>
      </c>
    </row>
    <row r="84" spans="2:6" x14ac:dyDescent="0.25">
      <c r="B84" s="477"/>
      <c r="C84" s="323" t="s">
        <v>285</v>
      </c>
      <c r="D84" s="324">
        <v>0</v>
      </c>
      <c r="E84" s="324">
        <v>4689000000</v>
      </c>
      <c r="F84" s="324">
        <f t="shared" si="1"/>
        <v>4689000000</v>
      </c>
    </row>
    <row r="85" spans="2:6" x14ac:dyDescent="0.25">
      <c r="B85" s="477"/>
      <c r="C85" s="323" t="s">
        <v>286</v>
      </c>
      <c r="D85" s="324">
        <v>0</v>
      </c>
      <c r="E85" s="324">
        <v>4700000000</v>
      </c>
      <c r="F85" s="324">
        <f t="shared" si="1"/>
        <v>4700000000</v>
      </c>
    </row>
    <row r="86" spans="2:6" x14ac:dyDescent="0.25">
      <c r="B86" s="477"/>
      <c r="C86" s="323" t="s">
        <v>279</v>
      </c>
      <c r="D86" s="324">
        <v>0</v>
      </c>
      <c r="E86" s="324">
        <v>2470000000</v>
      </c>
      <c r="F86" s="324">
        <f t="shared" si="1"/>
        <v>2470000000</v>
      </c>
    </row>
    <row r="87" spans="2:6" x14ac:dyDescent="0.25">
      <c r="B87" s="477"/>
      <c r="C87" s="323" t="s">
        <v>280</v>
      </c>
      <c r="D87" s="324">
        <v>0</v>
      </c>
      <c r="E87" s="324">
        <v>1000000000</v>
      </c>
      <c r="F87" s="324">
        <f t="shared" si="1"/>
        <v>1000000000</v>
      </c>
    </row>
    <row r="88" spans="2:6" x14ac:dyDescent="0.25">
      <c r="B88" s="477"/>
      <c r="C88" s="323" t="s">
        <v>282</v>
      </c>
      <c r="D88" s="324">
        <v>0</v>
      </c>
      <c r="E88" s="324">
        <v>250000000</v>
      </c>
      <c r="F88" s="324">
        <f t="shared" si="1"/>
        <v>250000000</v>
      </c>
    </row>
    <row r="89" spans="2:6" x14ac:dyDescent="0.25">
      <c r="B89" s="477"/>
      <c r="C89" s="323" t="s">
        <v>361</v>
      </c>
      <c r="D89" s="324">
        <v>0</v>
      </c>
      <c r="E89" s="324">
        <v>367500000</v>
      </c>
      <c r="F89" s="324">
        <f t="shared" si="1"/>
        <v>367500000</v>
      </c>
    </row>
    <row r="90" spans="2:6" x14ac:dyDescent="0.25">
      <c r="B90" s="478"/>
      <c r="C90" s="323" t="s">
        <v>291</v>
      </c>
      <c r="D90" s="324">
        <v>0</v>
      </c>
      <c r="E90" s="324">
        <v>450000000</v>
      </c>
      <c r="F90" s="324">
        <f t="shared" si="1"/>
        <v>450000000</v>
      </c>
    </row>
    <row r="91" spans="2:6" x14ac:dyDescent="0.25">
      <c r="B91" s="479" t="s">
        <v>203</v>
      </c>
      <c r="C91" s="479"/>
      <c r="D91" s="325">
        <v>74000000</v>
      </c>
      <c r="E91" s="325">
        <v>28283040604</v>
      </c>
      <c r="F91" s="325">
        <f t="shared" si="1"/>
        <v>28357040604</v>
      </c>
    </row>
    <row r="92" spans="2:6" x14ac:dyDescent="0.25">
      <c r="B92" s="480" t="s">
        <v>235</v>
      </c>
      <c r="C92" s="323" t="s">
        <v>236</v>
      </c>
      <c r="D92" s="324">
        <v>204107</v>
      </c>
      <c r="E92" s="324">
        <v>472461605</v>
      </c>
      <c r="F92" s="324">
        <f t="shared" si="1"/>
        <v>472665712</v>
      </c>
    </row>
    <row r="93" spans="2:6" x14ac:dyDescent="0.25">
      <c r="B93" s="477"/>
      <c r="C93" s="323" t="s">
        <v>237</v>
      </c>
      <c r="D93" s="324">
        <v>0</v>
      </c>
      <c r="E93" s="324">
        <v>2393275000</v>
      </c>
      <c r="F93" s="324">
        <f t="shared" si="1"/>
        <v>2393275000</v>
      </c>
    </row>
    <row r="94" spans="2:6" x14ac:dyDescent="0.25">
      <c r="B94" s="477"/>
      <c r="C94" s="323" t="s">
        <v>238</v>
      </c>
      <c r="D94" s="324">
        <v>13175208</v>
      </c>
      <c r="E94" s="324">
        <v>15000000000</v>
      </c>
      <c r="F94" s="324">
        <f t="shared" si="1"/>
        <v>15013175208</v>
      </c>
    </row>
    <row r="95" spans="2:6" x14ac:dyDescent="0.25">
      <c r="B95" s="477"/>
      <c r="C95" s="323" t="s">
        <v>299</v>
      </c>
      <c r="D95" s="324">
        <v>1029000</v>
      </c>
      <c r="E95" s="324">
        <v>1482498</v>
      </c>
      <c r="F95" s="324">
        <f t="shared" si="1"/>
        <v>2511498</v>
      </c>
    </row>
    <row r="96" spans="2:6" x14ac:dyDescent="0.25">
      <c r="B96" s="477"/>
      <c r="C96" s="323" t="s">
        <v>239</v>
      </c>
      <c r="D96" s="324">
        <v>660000</v>
      </c>
      <c r="E96" s="324">
        <v>7813400000</v>
      </c>
      <c r="F96" s="324">
        <f t="shared" si="1"/>
        <v>7814060000</v>
      </c>
    </row>
    <row r="97" spans="2:6" x14ac:dyDescent="0.25">
      <c r="B97" s="477"/>
      <c r="C97" s="323" t="s">
        <v>287</v>
      </c>
      <c r="D97" s="324">
        <v>0</v>
      </c>
      <c r="E97" s="324">
        <v>1485804000</v>
      </c>
      <c r="F97" s="324">
        <f t="shared" si="1"/>
        <v>1485804000</v>
      </c>
    </row>
    <row r="98" spans="2:6" x14ac:dyDescent="0.25">
      <c r="B98" s="477"/>
      <c r="C98" s="323" t="s">
        <v>279</v>
      </c>
      <c r="D98" s="324">
        <v>0</v>
      </c>
      <c r="E98" s="324">
        <v>1159000000</v>
      </c>
      <c r="F98" s="324">
        <f t="shared" si="1"/>
        <v>1159000000</v>
      </c>
    </row>
    <row r="99" spans="2:6" x14ac:dyDescent="0.25">
      <c r="B99" s="478"/>
      <c r="C99" s="323" t="s">
        <v>362</v>
      </c>
      <c r="D99" s="324">
        <v>0</v>
      </c>
      <c r="E99" s="324">
        <v>3556434</v>
      </c>
      <c r="F99" s="324">
        <f t="shared" si="1"/>
        <v>3556434</v>
      </c>
    </row>
    <row r="100" spans="2:6" x14ac:dyDescent="0.25">
      <c r="B100" s="479" t="s">
        <v>203</v>
      </c>
      <c r="C100" s="479"/>
      <c r="D100" s="325">
        <v>15068315</v>
      </c>
      <c r="E100" s="325">
        <v>28328979537</v>
      </c>
      <c r="F100" s="325">
        <f t="shared" si="1"/>
        <v>28344047852</v>
      </c>
    </row>
    <row r="101" spans="2:6" x14ac:dyDescent="0.25">
      <c r="B101" s="480" t="s">
        <v>240</v>
      </c>
      <c r="C101" s="323" t="s">
        <v>218</v>
      </c>
      <c r="D101" s="324">
        <v>0</v>
      </c>
      <c r="E101" s="324">
        <v>3109542</v>
      </c>
      <c r="F101" s="324">
        <f t="shared" si="1"/>
        <v>3109542</v>
      </c>
    </row>
    <row r="102" spans="2:6" x14ac:dyDescent="0.25">
      <c r="B102" s="477"/>
      <c r="C102" s="323" t="s">
        <v>300</v>
      </c>
      <c r="D102" s="324">
        <v>666262154</v>
      </c>
      <c r="E102" s="324">
        <v>1237344000</v>
      </c>
      <c r="F102" s="324">
        <f t="shared" si="1"/>
        <v>1903606154</v>
      </c>
    </row>
    <row r="103" spans="2:6" x14ac:dyDescent="0.25">
      <c r="B103" s="477"/>
      <c r="C103" s="323" t="s">
        <v>241</v>
      </c>
      <c r="D103" s="324">
        <v>3318389640</v>
      </c>
      <c r="E103" s="324">
        <v>7082914031</v>
      </c>
      <c r="F103" s="324">
        <f t="shared" si="1"/>
        <v>10401303671</v>
      </c>
    </row>
    <row r="104" spans="2:6" x14ac:dyDescent="0.25">
      <c r="B104" s="477"/>
      <c r="C104" s="323" t="s">
        <v>301</v>
      </c>
      <c r="D104" s="324">
        <v>30000000</v>
      </c>
      <c r="E104" s="324">
        <v>70000000</v>
      </c>
      <c r="F104" s="324">
        <f t="shared" si="1"/>
        <v>100000000</v>
      </c>
    </row>
    <row r="105" spans="2:6" x14ac:dyDescent="0.25">
      <c r="B105" s="477"/>
      <c r="C105" s="323" t="s">
        <v>363</v>
      </c>
      <c r="D105" s="324">
        <v>7011648206</v>
      </c>
      <c r="E105" s="324">
        <v>3775502880</v>
      </c>
      <c r="F105" s="324">
        <f t="shared" si="1"/>
        <v>10787151086</v>
      </c>
    </row>
    <row r="106" spans="2:6" x14ac:dyDescent="0.25">
      <c r="B106" s="477"/>
      <c r="C106" s="323" t="s">
        <v>364</v>
      </c>
      <c r="D106" s="324">
        <v>0</v>
      </c>
      <c r="E106" s="324">
        <v>19764806750</v>
      </c>
      <c r="F106" s="324">
        <f t="shared" si="1"/>
        <v>19764806750</v>
      </c>
    </row>
    <row r="107" spans="2:6" x14ac:dyDescent="0.25">
      <c r="B107" s="477"/>
      <c r="C107" s="323" t="s">
        <v>365</v>
      </c>
      <c r="D107" s="324">
        <v>140139000</v>
      </c>
      <c r="E107" s="324">
        <v>743985000</v>
      </c>
      <c r="F107" s="324">
        <f t="shared" si="1"/>
        <v>884124000</v>
      </c>
    </row>
    <row r="108" spans="2:6" x14ac:dyDescent="0.25">
      <c r="B108" s="477"/>
      <c r="C108" s="323" t="s">
        <v>366</v>
      </c>
      <c r="D108" s="324">
        <v>32500000</v>
      </c>
      <c r="E108" s="324">
        <v>32500000</v>
      </c>
      <c r="F108" s="324">
        <f t="shared" si="1"/>
        <v>65000000</v>
      </c>
    </row>
    <row r="109" spans="2:6" x14ac:dyDescent="0.25">
      <c r="B109" s="477"/>
      <c r="C109" s="323" t="s">
        <v>367</v>
      </c>
      <c r="D109" s="324">
        <v>0</v>
      </c>
      <c r="E109" s="324">
        <v>1139000000</v>
      </c>
      <c r="F109" s="324">
        <f t="shared" si="1"/>
        <v>1139000000</v>
      </c>
    </row>
    <row r="110" spans="2:6" x14ac:dyDescent="0.25">
      <c r="B110" s="477"/>
      <c r="C110" s="323" t="s">
        <v>292</v>
      </c>
      <c r="D110" s="324">
        <v>0</v>
      </c>
      <c r="E110" s="324">
        <v>11245600</v>
      </c>
      <c r="F110" s="324">
        <f t="shared" si="1"/>
        <v>11245600</v>
      </c>
    </row>
    <row r="111" spans="2:6" x14ac:dyDescent="0.25">
      <c r="B111" s="479" t="s">
        <v>203</v>
      </c>
      <c r="C111" s="479"/>
      <c r="D111" s="325">
        <v>11198939000</v>
      </c>
      <c r="E111" s="325">
        <v>33860407803</v>
      </c>
      <c r="F111" s="325">
        <f t="shared" si="1"/>
        <v>45059346803</v>
      </c>
    </row>
    <row r="112" spans="2:6" x14ac:dyDescent="0.25">
      <c r="B112" s="477" t="s">
        <v>242</v>
      </c>
      <c r="C112" s="323" t="s">
        <v>219</v>
      </c>
      <c r="D112" s="324">
        <v>8500000</v>
      </c>
      <c r="E112" s="324">
        <v>8500000</v>
      </c>
      <c r="F112" s="324">
        <f t="shared" si="1"/>
        <v>17000000</v>
      </c>
    </row>
    <row r="113" spans="2:6" x14ac:dyDescent="0.25">
      <c r="B113" s="477"/>
      <c r="C113" s="323" t="s">
        <v>208</v>
      </c>
      <c r="D113" s="324">
        <v>2317732748</v>
      </c>
      <c r="E113" s="324">
        <v>6540848899</v>
      </c>
      <c r="F113" s="324">
        <f t="shared" si="1"/>
        <v>8858581647</v>
      </c>
    </row>
    <row r="114" spans="2:6" x14ac:dyDescent="0.25">
      <c r="B114" s="477"/>
      <c r="C114" s="323" t="s">
        <v>299</v>
      </c>
      <c r="D114" s="324">
        <v>18000000</v>
      </c>
      <c r="E114" s="324">
        <v>6000000</v>
      </c>
      <c r="F114" s="324">
        <f t="shared" si="1"/>
        <v>24000000</v>
      </c>
    </row>
    <row r="115" spans="2:6" x14ac:dyDescent="0.25">
      <c r="B115" s="477"/>
      <c r="C115" s="323" t="s">
        <v>288</v>
      </c>
      <c r="D115" s="324">
        <v>0</v>
      </c>
      <c r="E115" s="324">
        <v>727250000</v>
      </c>
      <c r="F115" s="324">
        <f t="shared" si="1"/>
        <v>727250000</v>
      </c>
    </row>
    <row r="116" spans="2:6" x14ac:dyDescent="0.25">
      <c r="B116" s="477"/>
      <c r="C116" s="323" t="s">
        <v>289</v>
      </c>
      <c r="D116" s="324">
        <v>186900000</v>
      </c>
      <c r="E116" s="324">
        <v>1440000000</v>
      </c>
      <c r="F116" s="324">
        <f t="shared" si="1"/>
        <v>1626900000</v>
      </c>
    </row>
    <row r="117" spans="2:6" x14ac:dyDescent="0.25">
      <c r="B117" s="478"/>
      <c r="C117" s="323" t="s">
        <v>290</v>
      </c>
      <c r="D117" s="324">
        <v>0</v>
      </c>
      <c r="E117" s="324">
        <v>1193582000</v>
      </c>
      <c r="F117" s="324">
        <f t="shared" si="1"/>
        <v>1193582000</v>
      </c>
    </row>
    <row r="118" spans="2:6" x14ac:dyDescent="0.25">
      <c r="B118" s="479" t="s">
        <v>203</v>
      </c>
      <c r="C118" s="479"/>
      <c r="D118" s="325">
        <v>2531132748</v>
      </c>
      <c r="E118" s="325">
        <v>9916180899</v>
      </c>
      <c r="F118" s="325">
        <f t="shared" si="1"/>
        <v>12447313647</v>
      </c>
    </row>
    <row r="119" spans="2:6" x14ac:dyDescent="0.25">
      <c r="B119" s="477" t="s">
        <v>252</v>
      </c>
      <c r="C119" s="323" t="s">
        <v>209</v>
      </c>
      <c r="D119" s="324">
        <v>8000000</v>
      </c>
      <c r="E119" s="324">
        <v>0</v>
      </c>
      <c r="F119" s="324">
        <f t="shared" si="1"/>
        <v>8000000</v>
      </c>
    </row>
    <row r="120" spans="2:6" x14ac:dyDescent="0.25">
      <c r="B120" s="478"/>
      <c r="C120" s="323" t="s">
        <v>368</v>
      </c>
      <c r="D120" s="324">
        <v>0</v>
      </c>
      <c r="E120" s="324">
        <v>360000000</v>
      </c>
      <c r="F120" s="324">
        <f t="shared" si="1"/>
        <v>360000000</v>
      </c>
    </row>
    <row r="121" spans="2:6" x14ac:dyDescent="0.25">
      <c r="B121" s="479" t="s">
        <v>203</v>
      </c>
      <c r="C121" s="479"/>
      <c r="D121" s="325">
        <v>8000000</v>
      </c>
      <c r="E121" s="325">
        <v>360000000</v>
      </c>
      <c r="F121" s="325">
        <f t="shared" si="1"/>
        <v>368000000</v>
      </c>
    </row>
    <row r="122" spans="2:6" x14ac:dyDescent="0.25">
      <c r="B122" s="480" t="s">
        <v>302</v>
      </c>
      <c r="C122" s="323" t="s">
        <v>294</v>
      </c>
      <c r="D122" s="324">
        <v>44622860</v>
      </c>
      <c r="E122" s="324">
        <v>180000000</v>
      </c>
      <c r="F122" s="324">
        <f t="shared" si="1"/>
        <v>224622860</v>
      </c>
    </row>
    <row r="123" spans="2:6" x14ac:dyDescent="0.25">
      <c r="B123" s="477"/>
      <c r="C123" s="323" t="s">
        <v>209</v>
      </c>
      <c r="D123" s="324">
        <v>80000000</v>
      </c>
      <c r="E123" s="324">
        <v>1200000000</v>
      </c>
      <c r="F123" s="324">
        <f t="shared" si="1"/>
        <v>1280000000</v>
      </c>
    </row>
    <row r="124" spans="2:6" x14ac:dyDescent="0.25">
      <c r="B124" s="477"/>
      <c r="C124" s="323" t="s">
        <v>299</v>
      </c>
      <c r="D124" s="324">
        <v>0</v>
      </c>
      <c r="E124" s="324">
        <v>32000000</v>
      </c>
      <c r="F124" s="324">
        <f t="shared" si="1"/>
        <v>32000000</v>
      </c>
    </row>
    <row r="125" spans="2:6" x14ac:dyDescent="0.25">
      <c r="B125" s="477"/>
      <c r="C125" s="323" t="s">
        <v>278</v>
      </c>
      <c r="D125" s="324">
        <v>0</v>
      </c>
      <c r="E125" s="324">
        <v>210000000</v>
      </c>
      <c r="F125" s="324">
        <f t="shared" si="1"/>
        <v>210000000</v>
      </c>
    </row>
    <row r="126" spans="2:6" x14ac:dyDescent="0.25">
      <c r="B126" s="477"/>
      <c r="C126" s="323" t="s">
        <v>369</v>
      </c>
      <c r="D126" s="324">
        <v>0</v>
      </c>
      <c r="E126" s="324">
        <v>140000000</v>
      </c>
      <c r="F126" s="324">
        <f t="shared" si="1"/>
        <v>140000000</v>
      </c>
    </row>
    <row r="127" spans="2:6" x14ac:dyDescent="0.25">
      <c r="B127" s="478"/>
      <c r="C127" s="323" t="s">
        <v>370</v>
      </c>
      <c r="D127" s="324">
        <v>0</v>
      </c>
      <c r="E127" s="324">
        <v>1480000000</v>
      </c>
      <c r="F127" s="324">
        <f t="shared" si="1"/>
        <v>1480000000</v>
      </c>
    </row>
    <row r="128" spans="2:6" x14ac:dyDescent="0.25">
      <c r="B128" s="479" t="s">
        <v>203</v>
      </c>
      <c r="C128" s="479"/>
      <c r="D128" s="325">
        <v>124622860</v>
      </c>
      <c r="E128" s="325">
        <v>3242000000</v>
      </c>
      <c r="F128" s="325">
        <f t="shared" si="1"/>
        <v>3366622860</v>
      </c>
    </row>
    <row r="129" spans="2:6" x14ac:dyDescent="0.25">
      <c r="B129" s="480" t="s">
        <v>243</v>
      </c>
      <c r="C129" s="323" t="s">
        <v>371</v>
      </c>
      <c r="D129" s="324">
        <v>806340</v>
      </c>
      <c r="E129" s="324">
        <v>8187552</v>
      </c>
      <c r="F129" s="324">
        <f t="shared" si="1"/>
        <v>8993892</v>
      </c>
    </row>
    <row r="130" spans="2:6" x14ac:dyDescent="0.25">
      <c r="B130" s="478"/>
      <c r="C130" s="323" t="s">
        <v>278</v>
      </c>
      <c r="D130" s="324">
        <v>3372149</v>
      </c>
      <c r="E130" s="324">
        <v>16057851</v>
      </c>
      <c r="F130" s="324">
        <f t="shared" si="1"/>
        <v>19430000</v>
      </c>
    </row>
    <row r="131" spans="2:6" x14ac:dyDescent="0.25">
      <c r="B131" s="479" t="s">
        <v>203</v>
      </c>
      <c r="C131" s="479"/>
      <c r="D131" s="325">
        <v>4178489</v>
      </c>
      <c r="E131" s="325">
        <v>24245403</v>
      </c>
      <c r="F131" s="325">
        <f t="shared" si="1"/>
        <v>28423892</v>
      </c>
    </row>
    <row r="132" spans="2:6" x14ac:dyDescent="0.25">
      <c r="B132" s="327" t="s">
        <v>244</v>
      </c>
      <c r="C132" s="323" t="s">
        <v>372</v>
      </c>
      <c r="D132" s="324">
        <v>870000</v>
      </c>
      <c r="E132" s="324">
        <v>7830000</v>
      </c>
      <c r="F132" s="324">
        <f t="shared" si="1"/>
        <v>8700000</v>
      </c>
    </row>
    <row r="133" spans="2:6" x14ac:dyDescent="0.25">
      <c r="B133" s="479" t="s">
        <v>203</v>
      </c>
      <c r="C133" s="479"/>
      <c r="D133" s="325">
        <v>870000</v>
      </c>
      <c r="E133" s="325">
        <v>7830000</v>
      </c>
      <c r="F133" s="325">
        <f t="shared" si="1"/>
        <v>8700000</v>
      </c>
    </row>
    <row r="134" spans="2:6" x14ac:dyDescent="0.25">
      <c r="B134" s="480" t="s">
        <v>245</v>
      </c>
      <c r="C134" s="323" t="s">
        <v>246</v>
      </c>
      <c r="D134" s="324">
        <v>1699256</v>
      </c>
      <c r="E134" s="324">
        <v>1699256</v>
      </c>
      <c r="F134" s="324">
        <f t="shared" si="1"/>
        <v>3398512</v>
      </c>
    </row>
    <row r="135" spans="2:6" x14ac:dyDescent="0.25">
      <c r="B135" s="477"/>
      <c r="C135" s="323" t="s">
        <v>294</v>
      </c>
      <c r="D135" s="324">
        <v>400921</v>
      </c>
      <c r="E135" s="324">
        <v>1322359</v>
      </c>
      <c r="F135" s="324">
        <f t="shared" si="1"/>
        <v>1723280</v>
      </c>
    </row>
    <row r="136" spans="2:6" x14ac:dyDescent="0.25">
      <c r="B136" s="477"/>
      <c r="C136" s="323" t="s">
        <v>247</v>
      </c>
      <c r="D136" s="324">
        <v>8548189</v>
      </c>
      <c r="E136" s="324">
        <v>12231088</v>
      </c>
      <c r="F136" s="324">
        <f t="shared" si="1"/>
        <v>20779277</v>
      </c>
    </row>
    <row r="137" spans="2:6" x14ac:dyDescent="0.25">
      <c r="B137" s="477"/>
      <c r="C137" s="323" t="s">
        <v>277</v>
      </c>
      <c r="D137" s="324">
        <v>7665000</v>
      </c>
      <c r="E137" s="324">
        <v>36500000</v>
      </c>
      <c r="F137" s="324">
        <f t="shared" ref="F137:F159" si="2">D137+E137</f>
        <v>44165000</v>
      </c>
    </row>
    <row r="138" spans="2:6" x14ac:dyDescent="0.25">
      <c r="B138" s="479" t="s">
        <v>203</v>
      </c>
      <c r="C138" s="479"/>
      <c r="D138" s="325">
        <v>18313366</v>
      </c>
      <c r="E138" s="325">
        <v>51752703</v>
      </c>
      <c r="F138" s="325">
        <f t="shared" si="2"/>
        <v>70066069</v>
      </c>
    </row>
    <row r="139" spans="2:6" x14ac:dyDescent="0.25">
      <c r="B139" s="327" t="s">
        <v>373</v>
      </c>
      <c r="C139" s="323" t="s">
        <v>219</v>
      </c>
      <c r="D139" s="324">
        <v>2795496</v>
      </c>
      <c r="E139" s="324">
        <v>311136</v>
      </c>
      <c r="F139" s="324">
        <f t="shared" si="2"/>
        <v>3106632</v>
      </c>
    </row>
    <row r="140" spans="2:6" x14ac:dyDescent="0.25">
      <c r="B140" s="479" t="s">
        <v>203</v>
      </c>
      <c r="C140" s="479"/>
      <c r="D140" s="325">
        <v>2795496</v>
      </c>
      <c r="E140" s="325">
        <v>311136</v>
      </c>
      <c r="F140" s="325">
        <f t="shared" si="2"/>
        <v>3106632</v>
      </c>
    </row>
    <row r="141" spans="2:6" x14ac:dyDescent="0.25">
      <c r="B141" s="480" t="s">
        <v>248</v>
      </c>
      <c r="C141" s="323" t="s">
        <v>219</v>
      </c>
      <c r="D141" s="324">
        <v>0</v>
      </c>
      <c r="E141" s="324">
        <v>3550660</v>
      </c>
      <c r="F141" s="324">
        <f t="shared" si="2"/>
        <v>3550660</v>
      </c>
    </row>
    <row r="142" spans="2:6" x14ac:dyDescent="0.25">
      <c r="B142" s="477"/>
      <c r="C142" s="323" t="s">
        <v>208</v>
      </c>
      <c r="D142" s="324">
        <v>1385794</v>
      </c>
      <c r="E142" s="324">
        <v>2579281</v>
      </c>
      <c r="F142" s="324">
        <f t="shared" si="2"/>
        <v>3965075</v>
      </c>
    </row>
    <row r="143" spans="2:6" x14ac:dyDescent="0.25">
      <c r="B143" s="477"/>
      <c r="C143" s="323" t="s">
        <v>299</v>
      </c>
      <c r="D143" s="324">
        <v>0</v>
      </c>
      <c r="E143" s="324">
        <v>4190724</v>
      </c>
      <c r="F143" s="324">
        <f t="shared" si="2"/>
        <v>4190724</v>
      </c>
    </row>
    <row r="144" spans="2:6" x14ac:dyDescent="0.25">
      <c r="B144" s="477"/>
      <c r="C144" s="323" t="s">
        <v>283</v>
      </c>
      <c r="D144" s="324">
        <v>0</v>
      </c>
      <c r="E144" s="324">
        <v>100000000</v>
      </c>
      <c r="F144" s="324">
        <f t="shared" si="2"/>
        <v>100000000</v>
      </c>
    </row>
    <row r="145" spans="2:6" x14ac:dyDescent="0.25">
      <c r="B145" s="478"/>
      <c r="C145" s="323" t="s">
        <v>291</v>
      </c>
      <c r="D145" s="324">
        <v>0</v>
      </c>
      <c r="E145" s="324">
        <v>550371345</v>
      </c>
      <c r="F145" s="324">
        <f t="shared" si="2"/>
        <v>550371345</v>
      </c>
    </row>
    <row r="146" spans="2:6" x14ac:dyDescent="0.25">
      <c r="B146" s="479" t="s">
        <v>203</v>
      </c>
      <c r="C146" s="479"/>
      <c r="D146" s="325">
        <v>1385794</v>
      </c>
      <c r="E146" s="325">
        <v>660692010</v>
      </c>
      <c r="F146" s="325">
        <f t="shared" si="2"/>
        <v>662077804</v>
      </c>
    </row>
    <row r="147" spans="2:6" ht="20.25" customHeight="1" x14ac:dyDescent="0.25">
      <c r="B147" s="481" t="s">
        <v>249</v>
      </c>
      <c r="C147" s="481"/>
      <c r="D147" s="450">
        <v>15988407963</v>
      </c>
      <c r="E147" s="450">
        <v>122008685102</v>
      </c>
      <c r="F147" s="450">
        <f t="shared" si="2"/>
        <v>137997093065</v>
      </c>
    </row>
    <row r="148" spans="2:6" x14ac:dyDescent="0.25">
      <c r="B148" s="328" t="s">
        <v>303</v>
      </c>
      <c r="C148" s="329"/>
      <c r="D148" s="330">
        <v>4208940568</v>
      </c>
      <c r="E148" s="330">
        <v>13927890230</v>
      </c>
      <c r="F148" s="330">
        <f t="shared" si="2"/>
        <v>18136830798</v>
      </c>
    </row>
    <row r="149" spans="2:6" x14ac:dyDescent="0.25">
      <c r="B149" s="331" t="s">
        <v>374</v>
      </c>
      <c r="C149" s="332"/>
      <c r="D149" s="333">
        <v>146872344</v>
      </c>
      <c r="E149" s="333">
        <v>5094000000</v>
      </c>
      <c r="F149" s="333">
        <f t="shared" si="2"/>
        <v>5240872344</v>
      </c>
    </row>
    <row r="150" spans="2:6" x14ac:dyDescent="0.25">
      <c r="B150" s="334" t="s">
        <v>375</v>
      </c>
      <c r="C150" s="335"/>
      <c r="D150" s="336">
        <v>3984651794</v>
      </c>
      <c r="E150" s="336">
        <v>8320258031</v>
      </c>
      <c r="F150" s="336">
        <f t="shared" si="2"/>
        <v>12304909825</v>
      </c>
    </row>
    <row r="151" spans="2:6" x14ac:dyDescent="0.25">
      <c r="B151" s="337" t="s">
        <v>376</v>
      </c>
      <c r="C151" s="338"/>
      <c r="D151" s="339">
        <v>77416430</v>
      </c>
      <c r="E151" s="339">
        <v>513632199</v>
      </c>
      <c r="F151" s="336">
        <f t="shared" si="2"/>
        <v>591048629</v>
      </c>
    </row>
    <row r="152" spans="2:6" x14ac:dyDescent="0.25">
      <c r="B152" s="340" t="s">
        <v>377</v>
      </c>
      <c r="C152" s="341"/>
      <c r="D152" s="342">
        <v>204107</v>
      </c>
      <c r="E152" s="342">
        <v>472461605</v>
      </c>
      <c r="F152" s="342">
        <f t="shared" si="2"/>
        <v>472665712</v>
      </c>
    </row>
    <row r="153" spans="2:6" x14ac:dyDescent="0.25">
      <c r="B153" s="343" t="s">
        <v>304</v>
      </c>
      <c r="C153" s="344"/>
      <c r="D153" s="345">
        <v>11779467395</v>
      </c>
      <c r="E153" s="345">
        <v>108080794872</v>
      </c>
      <c r="F153" s="345">
        <f t="shared" si="2"/>
        <v>119860262267</v>
      </c>
    </row>
    <row r="154" spans="2:6" x14ac:dyDescent="0.25">
      <c r="B154" s="346" t="s">
        <v>374</v>
      </c>
      <c r="C154" s="347"/>
      <c r="D154" s="348">
        <v>4068678024</v>
      </c>
      <c r="E154" s="348">
        <v>40829941722</v>
      </c>
      <c r="F154" s="348">
        <f t="shared" si="2"/>
        <v>44898619746</v>
      </c>
    </row>
    <row r="155" spans="2:6" x14ac:dyDescent="0.25">
      <c r="B155" s="346" t="s">
        <v>378</v>
      </c>
      <c r="C155" s="347"/>
      <c r="D155" s="349">
        <v>7184287206</v>
      </c>
      <c r="E155" s="349">
        <v>24316794630</v>
      </c>
      <c r="F155" s="349">
        <f t="shared" si="2"/>
        <v>31501081836</v>
      </c>
    </row>
    <row r="156" spans="2:6" x14ac:dyDescent="0.25">
      <c r="B156" s="346" t="s">
        <v>379</v>
      </c>
      <c r="C156" s="347"/>
      <c r="D156" s="348">
        <v>101829207</v>
      </c>
      <c r="E156" s="348">
        <v>3750000</v>
      </c>
      <c r="F156" s="349">
        <f t="shared" si="2"/>
        <v>105579207</v>
      </c>
    </row>
    <row r="157" spans="2:6" x14ac:dyDescent="0.25">
      <c r="B157" s="346" t="s">
        <v>376</v>
      </c>
      <c r="C157" s="347"/>
      <c r="D157" s="348">
        <v>424672958</v>
      </c>
      <c r="E157" s="348">
        <v>42930308520</v>
      </c>
      <c r="F157" s="349">
        <f t="shared" si="2"/>
        <v>43354981478</v>
      </c>
    </row>
    <row r="158" spans="2:6" x14ac:dyDescent="0.25">
      <c r="B158" s="350" t="s">
        <v>380</v>
      </c>
      <c r="C158" s="347"/>
      <c r="D158" s="351">
        <v>660000</v>
      </c>
      <c r="E158" s="351">
        <v>7813400000</v>
      </c>
      <c r="F158" s="351">
        <v>7814060000</v>
      </c>
    </row>
    <row r="159" spans="2:6" x14ac:dyDescent="0.25">
      <c r="B159" s="352" t="s">
        <v>381</v>
      </c>
      <c r="C159" s="353"/>
      <c r="D159" s="354">
        <v>362353466</v>
      </c>
      <c r="E159" s="354">
        <v>34988612613</v>
      </c>
      <c r="F159" s="354">
        <f t="shared" si="2"/>
        <v>35350966079</v>
      </c>
    </row>
  </sheetData>
  <mergeCells count="43">
    <mergeCell ref="B146:C146"/>
    <mergeCell ref="B147:C147"/>
    <mergeCell ref="B133:C133"/>
    <mergeCell ref="B134:B137"/>
    <mergeCell ref="B138:C138"/>
    <mergeCell ref="B140:C140"/>
    <mergeCell ref="B141:B145"/>
    <mergeCell ref="B121:C121"/>
    <mergeCell ref="B122:B127"/>
    <mergeCell ref="B128:C128"/>
    <mergeCell ref="B129:B130"/>
    <mergeCell ref="B131:C131"/>
    <mergeCell ref="B101:B110"/>
    <mergeCell ref="B111:C111"/>
    <mergeCell ref="B112:B117"/>
    <mergeCell ref="B118:C118"/>
    <mergeCell ref="B119:B120"/>
    <mergeCell ref="B77:C77"/>
    <mergeCell ref="B78:B90"/>
    <mergeCell ref="B91:C91"/>
    <mergeCell ref="B92:B99"/>
    <mergeCell ref="B100:C100"/>
    <mergeCell ref="B34:B44"/>
    <mergeCell ref="B45:C45"/>
    <mergeCell ref="B46:B62"/>
    <mergeCell ref="B63:C63"/>
    <mergeCell ref="B64:B76"/>
    <mergeCell ref="B22:C22"/>
    <mergeCell ref="B23:B27"/>
    <mergeCell ref="B28:C28"/>
    <mergeCell ref="B29:B32"/>
    <mergeCell ref="B33:C33"/>
    <mergeCell ref="B8:B10"/>
    <mergeCell ref="B11:C11"/>
    <mergeCell ref="B12:B16"/>
    <mergeCell ref="B17:C17"/>
    <mergeCell ref="B18:B21"/>
    <mergeCell ref="B2:F2"/>
    <mergeCell ref="B4:B7"/>
    <mergeCell ref="C4:C7"/>
    <mergeCell ref="D4:D7"/>
    <mergeCell ref="E4:E7"/>
    <mergeCell ref="F4:F7"/>
  </mergeCells>
  <pageMargins left="0.25" right="0.25" top="0.75" bottom="0.75" header="0.3" footer="0.3"/>
  <pageSetup paperSize="9" scale="63" fitToHeight="0" orientation="landscape" r:id="rId1"/>
  <rowBreaks count="3" manualBreakCount="3">
    <brk id="45" min="1" max="5" man="1"/>
    <brk id="77" min="1" max="5" man="1"/>
    <brk id="118" min="1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zoomScale="85" zoomScaleNormal="85" workbookViewId="0"/>
  </sheetViews>
  <sheetFormatPr defaultRowHeight="15" x14ac:dyDescent="0.25"/>
  <cols>
    <col min="1" max="1" width="3.33203125" style="66" customWidth="1"/>
    <col min="2" max="2" width="53.1640625" style="7" customWidth="1"/>
    <col min="3" max="3" width="45" style="7" customWidth="1"/>
    <col min="4" max="6" width="24.1640625" style="7" customWidth="1"/>
    <col min="7" max="16384" width="9.33203125" style="7"/>
  </cols>
  <sheetData>
    <row r="1" spans="2:6" x14ac:dyDescent="0.25">
      <c r="B1" s="69"/>
      <c r="C1" s="69"/>
      <c r="D1" s="69"/>
      <c r="E1" s="70"/>
      <c r="F1" s="432" t="s">
        <v>256</v>
      </c>
    </row>
    <row r="2" spans="2:6" x14ac:dyDescent="0.25">
      <c r="B2" s="69"/>
      <c r="C2" s="69"/>
      <c r="D2" s="69"/>
      <c r="E2" s="70"/>
      <c r="F2" s="70"/>
    </row>
    <row r="3" spans="2:6" ht="31.5" customHeight="1" x14ac:dyDescent="0.25">
      <c r="B3" s="482" t="s">
        <v>391</v>
      </c>
      <c r="C3" s="482"/>
      <c r="D3" s="482"/>
      <c r="E3" s="482"/>
      <c r="F3" s="482"/>
    </row>
    <row r="4" spans="2:6" x14ac:dyDescent="0.25">
      <c r="B4" s="483"/>
      <c r="C4" s="483"/>
      <c r="D4" s="483"/>
      <c r="E4" s="483"/>
      <c r="F4" s="377" t="s">
        <v>2</v>
      </c>
    </row>
    <row r="5" spans="2:6" ht="15" customHeight="1" x14ac:dyDescent="0.25">
      <c r="B5" s="484" t="s">
        <v>4</v>
      </c>
      <c r="C5" s="484" t="s">
        <v>305</v>
      </c>
      <c r="D5" s="484" t="s">
        <v>312</v>
      </c>
      <c r="E5" s="484" t="s">
        <v>390</v>
      </c>
      <c r="F5" s="484" t="s">
        <v>309</v>
      </c>
    </row>
    <row r="6" spans="2:6" x14ac:dyDescent="0.25">
      <c r="B6" s="485"/>
      <c r="C6" s="485"/>
      <c r="D6" s="485"/>
      <c r="E6" s="485"/>
      <c r="F6" s="485"/>
    </row>
    <row r="7" spans="2:6" x14ac:dyDescent="0.25">
      <c r="B7" s="486"/>
      <c r="C7" s="486"/>
      <c r="D7" s="486"/>
      <c r="E7" s="486"/>
      <c r="F7" s="486"/>
    </row>
    <row r="8" spans="2:6" ht="15" customHeight="1" x14ac:dyDescent="0.25">
      <c r="B8" s="355" t="s">
        <v>201</v>
      </c>
      <c r="C8" s="356" t="s">
        <v>251</v>
      </c>
      <c r="D8" s="357">
        <v>265250</v>
      </c>
      <c r="E8" s="358">
        <v>1503083</v>
      </c>
      <c r="F8" s="358">
        <f>D8+E8</f>
        <v>1768333</v>
      </c>
    </row>
    <row r="9" spans="2:6" ht="15" customHeight="1" x14ac:dyDescent="0.25">
      <c r="B9" s="487" t="s">
        <v>210</v>
      </c>
      <c r="C9" s="359" t="s">
        <v>251</v>
      </c>
      <c r="D9" s="360">
        <v>25269532</v>
      </c>
      <c r="E9" s="361">
        <v>15581307</v>
      </c>
      <c r="F9" s="361">
        <f t="shared" ref="F9:F21" si="0">D9+E9</f>
        <v>40850839</v>
      </c>
    </row>
    <row r="10" spans="2:6" ht="15" customHeight="1" x14ac:dyDescent="0.25">
      <c r="B10" s="488"/>
      <c r="C10" s="362" t="s">
        <v>382</v>
      </c>
      <c r="D10" s="360">
        <v>0</v>
      </c>
      <c r="E10" s="361">
        <v>2157694</v>
      </c>
      <c r="F10" s="361">
        <f t="shared" si="0"/>
        <v>2157694</v>
      </c>
    </row>
    <row r="11" spans="2:6" ht="15" customHeight="1" x14ac:dyDescent="0.25">
      <c r="B11" s="489" t="s">
        <v>203</v>
      </c>
      <c r="C11" s="490"/>
      <c r="D11" s="363">
        <v>25269532</v>
      </c>
      <c r="E11" s="364">
        <v>17739001</v>
      </c>
      <c r="F11" s="364">
        <f t="shared" si="0"/>
        <v>43008533</v>
      </c>
    </row>
    <row r="12" spans="2:6" ht="15" customHeight="1" x14ac:dyDescent="0.25">
      <c r="B12" s="355" t="s">
        <v>213</v>
      </c>
      <c r="C12" s="365" t="s">
        <v>251</v>
      </c>
      <c r="D12" s="357">
        <v>5539163</v>
      </c>
      <c r="E12" s="357">
        <v>0</v>
      </c>
      <c r="F12" s="357">
        <f t="shared" si="0"/>
        <v>5539163</v>
      </c>
    </row>
    <row r="13" spans="2:6" ht="15" customHeight="1" x14ac:dyDescent="0.25">
      <c r="B13" s="355" t="s">
        <v>221</v>
      </c>
      <c r="C13" s="365" t="s">
        <v>382</v>
      </c>
      <c r="D13" s="357">
        <v>0</v>
      </c>
      <c r="E13" s="357">
        <v>1850000</v>
      </c>
      <c r="F13" s="357">
        <f t="shared" si="0"/>
        <v>1850000</v>
      </c>
    </row>
    <row r="14" spans="2:6" ht="15" customHeight="1" x14ac:dyDescent="0.25">
      <c r="B14" s="366" t="s">
        <v>229</v>
      </c>
      <c r="C14" s="367" t="s">
        <v>251</v>
      </c>
      <c r="D14" s="368">
        <v>36000</v>
      </c>
      <c r="E14" s="369">
        <v>204000</v>
      </c>
      <c r="F14" s="369">
        <f t="shared" si="0"/>
        <v>240000</v>
      </c>
    </row>
    <row r="15" spans="2:6" ht="15" customHeight="1" x14ac:dyDescent="0.25">
      <c r="B15" s="487" t="s">
        <v>242</v>
      </c>
      <c r="C15" s="370" t="s">
        <v>251</v>
      </c>
      <c r="D15" s="371">
        <v>256709</v>
      </c>
      <c r="E15" s="372">
        <v>1508648</v>
      </c>
      <c r="F15" s="373">
        <f t="shared" si="0"/>
        <v>1765357</v>
      </c>
    </row>
    <row r="16" spans="2:6" ht="15" customHeight="1" x14ac:dyDescent="0.25">
      <c r="B16" s="488"/>
      <c r="C16" s="374" t="s">
        <v>382</v>
      </c>
      <c r="D16" s="360">
        <v>750000</v>
      </c>
      <c r="E16" s="361">
        <v>4250000</v>
      </c>
      <c r="F16" s="361">
        <f t="shared" si="0"/>
        <v>5000000</v>
      </c>
    </row>
    <row r="17" spans="2:6" ht="15" customHeight="1" x14ac:dyDescent="0.25">
      <c r="B17" s="491" t="s">
        <v>203</v>
      </c>
      <c r="C17" s="492"/>
      <c r="D17" s="375">
        <f>D15+D16</f>
        <v>1006709</v>
      </c>
      <c r="E17" s="375">
        <f t="shared" ref="E17:F17" si="1">E15+E16</f>
        <v>5758648</v>
      </c>
      <c r="F17" s="375">
        <f t="shared" si="1"/>
        <v>6765357</v>
      </c>
    </row>
    <row r="18" spans="2:6" ht="15" customHeight="1" x14ac:dyDescent="0.25">
      <c r="B18" s="355" t="s">
        <v>252</v>
      </c>
      <c r="C18" s="356" t="s">
        <v>251</v>
      </c>
      <c r="D18" s="357">
        <v>100000</v>
      </c>
      <c r="E18" s="358">
        <v>500000</v>
      </c>
      <c r="F18" s="358">
        <f t="shared" si="0"/>
        <v>600000</v>
      </c>
    </row>
    <row r="19" spans="2:6" ht="15" customHeight="1" x14ac:dyDescent="0.25">
      <c r="B19" s="355" t="s">
        <v>302</v>
      </c>
      <c r="C19" s="356" t="s">
        <v>251</v>
      </c>
      <c r="D19" s="357">
        <v>377140</v>
      </c>
      <c r="E19" s="358">
        <v>2137130</v>
      </c>
      <c r="F19" s="358">
        <f t="shared" si="0"/>
        <v>2514270</v>
      </c>
    </row>
    <row r="20" spans="2:6" ht="15" customHeight="1" x14ac:dyDescent="0.25">
      <c r="B20" s="355" t="s">
        <v>243</v>
      </c>
      <c r="C20" s="356" t="s">
        <v>251</v>
      </c>
      <c r="D20" s="357">
        <v>303028</v>
      </c>
      <c r="E20" s="358">
        <v>1689634</v>
      </c>
      <c r="F20" s="358">
        <f t="shared" si="0"/>
        <v>1992662</v>
      </c>
    </row>
    <row r="21" spans="2:6" ht="15" customHeight="1" x14ac:dyDescent="0.25">
      <c r="B21" s="355" t="s">
        <v>248</v>
      </c>
      <c r="C21" s="356" t="s">
        <v>251</v>
      </c>
      <c r="D21" s="357">
        <v>11134490</v>
      </c>
      <c r="E21" s="358">
        <v>64295444</v>
      </c>
      <c r="F21" s="358">
        <f t="shared" si="0"/>
        <v>75429934</v>
      </c>
    </row>
    <row r="22" spans="2:6" x14ac:dyDescent="0.25">
      <c r="B22" s="493" t="s">
        <v>249</v>
      </c>
      <c r="C22" s="494"/>
      <c r="D22" s="376">
        <f>D8+D11+D12+D13+D14+D17+D18+D19+D20+D21</f>
        <v>44031312</v>
      </c>
      <c r="E22" s="376">
        <f t="shared" ref="E22:F22" si="2">E8+E11+E12+E13+E14+E17+E18+E19+E20+E21</f>
        <v>95676940</v>
      </c>
      <c r="F22" s="376">
        <f t="shared" si="2"/>
        <v>139708252</v>
      </c>
    </row>
  </sheetData>
  <mergeCells count="12">
    <mergeCell ref="B9:B10"/>
    <mergeCell ref="B11:C11"/>
    <mergeCell ref="B15:B16"/>
    <mergeCell ref="B17:C17"/>
    <mergeCell ref="B22:C22"/>
    <mergeCell ref="B3:F3"/>
    <mergeCell ref="B4:E4"/>
    <mergeCell ref="B5:B7"/>
    <mergeCell ref="C5:C7"/>
    <mergeCell ref="D5:D7"/>
    <mergeCell ref="E5:E7"/>
    <mergeCell ref="F5:F7"/>
  </mergeCells>
  <pageMargins left="1" right="1" top="1" bottom="1" header="0.5" footer="0.5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showGridLines="0" zoomScale="85" zoomScaleNormal="85" workbookViewId="0"/>
  </sheetViews>
  <sheetFormatPr defaultRowHeight="15" x14ac:dyDescent="0.25"/>
  <cols>
    <col min="1" max="1" width="3.33203125" style="66" customWidth="1"/>
    <col min="2" max="2" width="48.83203125" style="7" customWidth="1"/>
    <col min="3" max="3" width="70.1640625" style="7" customWidth="1"/>
    <col min="4" max="6" width="24.1640625" style="7" customWidth="1"/>
    <col min="7" max="16384" width="9.33203125" style="7"/>
  </cols>
  <sheetData>
    <row r="1" spans="2:6" x14ac:dyDescent="0.25">
      <c r="B1" s="69"/>
      <c r="C1" s="69"/>
      <c r="D1" s="69"/>
      <c r="E1" s="69"/>
      <c r="F1" s="433" t="s">
        <v>257</v>
      </c>
    </row>
    <row r="2" spans="2:6" ht="48.75" customHeight="1" x14ac:dyDescent="0.25">
      <c r="B2" s="495" t="s">
        <v>389</v>
      </c>
      <c r="C2" s="495"/>
      <c r="D2" s="495"/>
      <c r="E2" s="495"/>
      <c r="F2" s="495"/>
    </row>
    <row r="3" spans="2:6" x14ac:dyDescent="0.25">
      <c r="B3" s="483"/>
      <c r="C3" s="483"/>
      <c r="D3" s="483"/>
      <c r="E3" s="483"/>
      <c r="F3" s="377" t="s">
        <v>2</v>
      </c>
    </row>
    <row r="4" spans="2:6" ht="15" customHeight="1" x14ac:dyDescent="0.25">
      <c r="B4" s="484" t="s">
        <v>4</v>
      </c>
      <c r="C4" s="484" t="s">
        <v>305</v>
      </c>
      <c r="D4" s="484" t="s">
        <v>314</v>
      </c>
      <c r="E4" s="484" t="s">
        <v>313</v>
      </c>
      <c r="F4" s="484" t="s">
        <v>309</v>
      </c>
    </row>
    <row r="5" spans="2:6" x14ac:dyDescent="0.25">
      <c r="B5" s="485"/>
      <c r="C5" s="485"/>
      <c r="D5" s="485"/>
      <c r="E5" s="485"/>
      <c r="F5" s="485"/>
    </row>
    <row r="6" spans="2:6" x14ac:dyDescent="0.25">
      <c r="B6" s="485"/>
      <c r="C6" s="486"/>
      <c r="D6" s="486"/>
      <c r="E6" s="486"/>
      <c r="F6" s="486"/>
    </row>
    <row r="7" spans="2:6" x14ac:dyDescent="0.25">
      <c r="B7" s="498" t="s">
        <v>206</v>
      </c>
      <c r="C7" s="374" t="s">
        <v>254</v>
      </c>
      <c r="D7" s="361">
        <v>243300</v>
      </c>
      <c r="E7" s="361">
        <v>1378700</v>
      </c>
      <c r="F7" s="361">
        <f t="shared" ref="F7:F23" si="0">D7+E7</f>
        <v>1622000</v>
      </c>
    </row>
    <row r="8" spans="2:6" x14ac:dyDescent="0.25">
      <c r="B8" s="499"/>
      <c r="C8" s="374" t="s">
        <v>208</v>
      </c>
      <c r="D8" s="361">
        <v>6340881</v>
      </c>
      <c r="E8" s="361">
        <v>14586119</v>
      </c>
      <c r="F8" s="361">
        <f t="shared" si="0"/>
        <v>20927000</v>
      </c>
    </row>
    <row r="9" spans="2:6" x14ac:dyDescent="0.25">
      <c r="B9" s="491" t="s">
        <v>203</v>
      </c>
      <c r="C9" s="492"/>
      <c r="D9" s="379">
        <v>6584181</v>
      </c>
      <c r="E9" s="379">
        <v>15964819</v>
      </c>
      <c r="F9" s="380">
        <f t="shared" si="0"/>
        <v>22549000</v>
      </c>
    </row>
    <row r="10" spans="2:6" x14ac:dyDescent="0.25">
      <c r="B10" s="355" t="s">
        <v>234</v>
      </c>
      <c r="C10" s="381" t="s">
        <v>254</v>
      </c>
      <c r="D10" s="358">
        <v>0</v>
      </c>
      <c r="E10" s="358">
        <v>2000000000</v>
      </c>
      <c r="F10" s="358">
        <f t="shared" si="0"/>
        <v>2000000000</v>
      </c>
    </row>
    <row r="11" spans="2:6" x14ac:dyDescent="0.25">
      <c r="B11" s="500" t="s">
        <v>242</v>
      </c>
      <c r="C11" s="374" t="s">
        <v>382</v>
      </c>
      <c r="D11" s="361">
        <v>750000</v>
      </c>
      <c r="E11" s="361">
        <v>4250000</v>
      </c>
      <c r="F11" s="361">
        <f t="shared" si="0"/>
        <v>5000000</v>
      </c>
    </row>
    <row r="12" spans="2:6" x14ac:dyDescent="0.25">
      <c r="B12" s="500"/>
      <c r="C12" s="374" t="s">
        <v>219</v>
      </c>
      <c r="D12" s="361">
        <v>8500000</v>
      </c>
      <c r="E12" s="361">
        <v>8500000</v>
      </c>
      <c r="F12" s="361">
        <f t="shared" si="0"/>
        <v>17000000</v>
      </c>
    </row>
    <row r="13" spans="2:6" x14ac:dyDescent="0.25">
      <c r="B13" s="500"/>
      <c r="C13" s="374" t="s">
        <v>208</v>
      </c>
      <c r="D13" s="361">
        <v>1294125236</v>
      </c>
      <c r="E13" s="361">
        <v>2410000000</v>
      </c>
      <c r="F13" s="361">
        <f t="shared" si="0"/>
        <v>3704125236</v>
      </c>
    </row>
    <row r="14" spans="2:6" x14ac:dyDescent="0.25">
      <c r="B14" s="500"/>
      <c r="C14" s="374" t="s">
        <v>299</v>
      </c>
      <c r="D14" s="361">
        <v>18000000</v>
      </c>
      <c r="E14" s="361">
        <v>6000000</v>
      </c>
      <c r="F14" s="361">
        <f t="shared" si="0"/>
        <v>24000000</v>
      </c>
    </row>
    <row r="15" spans="2:6" x14ac:dyDescent="0.25">
      <c r="B15" s="488"/>
      <c r="C15" s="374" t="s">
        <v>290</v>
      </c>
      <c r="D15" s="361">
        <v>0</v>
      </c>
      <c r="E15" s="361">
        <v>1193582000</v>
      </c>
      <c r="F15" s="361">
        <f t="shared" si="0"/>
        <v>1193582000</v>
      </c>
    </row>
    <row r="16" spans="2:6" x14ac:dyDescent="0.25">
      <c r="B16" s="491" t="s">
        <v>203</v>
      </c>
      <c r="C16" s="492"/>
      <c r="D16" s="379">
        <f>SUM(D11:D15)</f>
        <v>1321375236</v>
      </c>
      <c r="E16" s="379">
        <f>SUM(E11:E15)</f>
        <v>3622332000</v>
      </c>
      <c r="F16" s="379">
        <f t="shared" si="0"/>
        <v>4943707236</v>
      </c>
    </row>
    <row r="17" spans="2:6" x14ac:dyDescent="0.25">
      <c r="B17" s="382" t="s">
        <v>373</v>
      </c>
      <c r="C17" s="381" t="s">
        <v>219</v>
      </c>
      <c r="D17" s="358">
        <v>2795496</v>
      </c>
      <c r="E17" s="358">
        <v>311136</v>
      </c>
      <c r="F17" s="379">
        <f t="shared" si="0"/>
        <v>3106632</v>
      </c>
    </row>
    <row r="18" spans="2:6" x14ac:dyDescent="0.25">
      <c r="B18" s="498" t="s">
        <v>248</v>
      </c>
      <c r="C18" s="374" t="s">
        <v>251</v>
      </c>
      <c r="D18" s="361">
        <v>11134490</v>
      </c>
      <c r="E18" s="361">
        <v>64295444</v>
      </c>
      <c r="F18" s="361">
        <f t="shared" si="0"/>
        <v>75429934</v>
      </c>
    </row>
    <row r="19" spans="2:6" x14ac:dyDescent="0.25">
      <c r="B19" s="501"/>
      <c r="C19" s="374" t="s">
        <v>219</v>
      </c>
      <c r="D19" s="361">
        <v>0</v>
      </c>
      <c r="E19" s="361">
        <v>3550660</v>
      </c>
      <c r="F19" s="361">
        <f t="shared" si="0"/>
        <v>3550660</v>
      </c>
    </row>
    <row r="20" spans="2:6" x14ac:dyDescent="0.25">
      <c r="B20" s="501"/>
      <c r="C20" s="374" t="s">
        <v>208</v>
      </c>
      <c r="D20" s="361">
        <v>1385794</v>
      </c>
      <c r="E20" s="361">
        <v>2579281</v>
      </c>
      <c r="F20" s="361">
        <f t="shared" si="0"/>
        <v>3965075</v>
      </c>
    </row>
    <row r="21" spans="2:6" x14ac:dyDescent="0.25">
      <c r="B21" s="501"/>
      <c r="C21" s="374" t="s">
        <v>299</v>
      </c>
      <c r="D21" s="361">
        <v>0</v>
      </c>
      <c r="E21" s="361">
        <v>4190724</v>
      </c>
      <c r="F21" s="361">
        <f t="shared" si="0"/>
        <v>4190724</v>
      </c>
    </row>
    <row r="22" spans="2:6" x14ac:dyDescent="0.25">
      <c r="B22" s="501"/>
      <c r="C22" s="374" t="s">
        <v>283</v>
      </c>
      <c r="D22" s="361">
        <v>0</v>
      </c>
      <c r="E22" s="361">
        <v>100000000</v>
      </c>
      <c r="F22" s="361">
        <f t="shared" si="0"/>
        <v>100000000</v>
      </c>
    </row>
    <row r="23" spans="2:6" ht="26.25" x14ac:dyDescent="0.25">
      <c r="B23" s="501"/>
      <c r="C23" s="374" t="s">
        <v>291</v>
      </c>
      <c r="D23" s="361">
        <v>0</v>
      </c>
      <c r="E23" s="361">
        <v>550371345</v>
      </c>
      <c r="F23" s="361">
        <f t="shared" si="0"/>
        <v>550371345</v>
      </c>
    </row>
    <row r="24" spans="2:6" x14ac:dyDescent="0.25">
      <c r="B24" s="491" t="s">
        <v>203</v>
      </c>
      <c r="C24" s="492"/>
      <c r="D24" s="379">
        <f>SUM(D18:D23)</f>
        <v>12520284</v>
      </c>
      <c r="E24" s="379">
        <f>SUM(E18:E23)</f>
        <v>724987454</v>
      </c>
      <c r="F24" s="379">
        <f>SUM(F18:F23)</f>
        <v>737507738</v>
      </c>
    </row>
    <row r="25" spans="2:6" x14ac:dyDescent="0.25">
      <c r="B25" s="496" t="s">
        <v>249</v>
      </c>
      <c r="C25" s="497"/>
      <c r="D25" s="379">
        <f>D16+D24+D9+D10+D17</f>
        <v>1343275197</v>
      </c>
      <c r="E25" s="379">
        <f t="shared" ref="E25:F25" si="1">E16+E24+E9+E10+E17</f>
        <v>6363595409</v>
      </c>
      <c r="F25" s="379">
        <f t="shared" si="1"/>
        <v>7706870606</v>
      </c>
    </row>
  </sheetData>
  <mergeCells count="14">
    <mergeCell ref="B24:C24"/>
    <mergeCell ref="B25:C25"/>
    <mergeCell ref="B7:B8"/>
    <mergeCell ref="B9:C9"/>
    <mergeCell ref="B11:B15"/>
    <mergeCell ref="B16:C16"/>
    <mergeCell ref="B18:B23"/>
    <mergeCell ref="B2:F2"/>
    <mergeCell ref="B3:E3"/>
    <mergeCell ref="B4:B6"/>
    <mergeCell ref="C4:C6"/>
    <mergeCell ref="D4:D6"/>
    <mergeCell ref="E4:E6"/>
    <mergeCell ref="F4:F6"/>
  </mergeCells>
  <pageMargins left="0.78740157499999996" right="0.78740157499999996" top="0.984251969" bottom="0.984251969" header="0.4921259845" footer="0.4921259845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zoomScale="85" zoomScaleNormal="85" workbookViewId="0"/>
  </sheetViews>
  <sheetFormatPr defaultRowHeight="15" x14ac:dyDescent="0.25"/>
  <cols>
    <col min="1" max="1" width="3.33203125" style="66" customWidth="1"/>
    <col min="2" max="2" width="47.6640625" style="5" customWidth="1"/>
    <col min="3" max="3" width="116.5" style="5" customWidth="1"/>
    <col min="4" max="6" width="24.1640625" style="5" customWidth="1"/>
    <col min="7" max="16384" width="9.33203125" style="5"/>
  </cols>
  <sheetData>
    <row r="1" spans="1:6" x14ac:dyDescent="0.25">
      <c r="F1" s="433" t="s">
        <v>199</v>
      </c>
    </row>
    <row r="2" spans="1:6" x14ac:dyDescent="0.25">
      <c r="F2" s="67"/>
    </row>
    <row r="3" spans="1:6" ht="15.75" x14ac:dyDescent="0.25">
      <c r="B3" s="502" t="s">
        <v>383</v>
      </c>
      <c r="C3" s="502"/>
      <c r="D3" s="502"/>
      <c r="E3" s="502"/>
      <c r="F3" s="502"/>
    </row>
    <row r="4" spans="1:6" x14ac:dyDescent="0.25">
      <c r="B4" s="503"/>
      <c r="C4" s="503"/>
      <c r="D4" s="503"/>
      <c r="E4" s="503"/>
      <c r="F4" s="68" t="s">
        <v>2</v>
      </c>
    </row>
    <row r="5" spans="1:6" s="6" customFormat="1" ht="40.5" customHeight="1" x14ac:dyDescent="0.25">
      <c r="A5" s="66"/>
      <c r="B5" s="394" t="s">
        <v>4</v>
      </c>
      <c r="C5" s="395" t="s">
        <v>305</v>
      </c>
      <c r="D5" s="394" t="s">
        <v>311</v>
      </c>
      <c r="E5" s="394" t="s">
        <v>384</v>
      </c>
      <c r="F5" s="394" t="s">
        <v>309</v>
      </c>
    </row>
    <row r="6" spans="1:6" x14ac:dyDescent="0.25">
      <c r="B6" s="383" t="s">
        <v>204</v>
      </c>
      <c r="C6" s="384" t="s">
        <v>278</v>
      </c>
      <c r="D6" s="385">
        <v>82831974</v>
      </c>
      <c r="E6" s="385">
        <v>384100867</v>
      </c>
      <c r="F6" s="385">
        <f t="shared" ref="F6:F44" si="0">D6+E6</f>
        <v>466932841</v>
      </c>
    </row>
    <row r="7" spans="1:6" x14ac:dyDescent="0.25">
      <c r="B7" s="504" t="s">
        <v>213</v>
      </c>
      <c r="C7" s="386" t="s">
        <v>278</v>
      </c>
      <c r="D7" s="387">
        <v>42330620</v>
      </c>
      <c r="E7" s="387">
        <v>0</v>
      </c>
      <c r="F7" s="387">
        <f t="shared" si="0"/>
        <v>42330620</v>
      </c>
    </row>
    <row r="8" spans="1:6" x14ac:dyDescent="0.25">
      <c r="B8" s="505"/>
      <c r="C8" s="323" t="s">
        <v>285</v>
      </c>
      <c r="D8" s="324">
        <v>36997524</v>
      </c>
      <c r="E8" s="324">
        <v>0</v>
      </c>
      <c r="F8" s="324">
        <f t="shared" si="0"/>
        <v>36997524</v>
      </c>
    </row>
    <row r="9" spans="1:6" x14ac:dyDescent="0.25">
      <c r="B9" s="479" t="s">
        <v>203</v>
      </c>
      <c r="C9" s="479"/>
      <c r="D9" s="325">
        <f>SUM(D7:D8)</f>
        <v>79328144</v>
      </c>
      <c r="E9" s="325">
        <f t="shared" ref="E9:F9" si="1">SUM(E7:E8)</f>
        <v>0</v>
      </c>
      <c r="F9" s="325">
        <f t="shared" si="1"/>
        <v>79328144</v>
      </c>
    </row>
    <row r="10" spans="1:6" x14ac:dyDescent="0.25">
      <c r="B10" s="506" t="s">
        <v>221</v>
      </c>
      <c r="C10" s="323" t="s">
        <v>277</v>
      </c>
      <c r="D10" s="324">
        <v>2256199</v>
      </c>
      <c r="E10" s="324">
        <v>10743802</v>
      </c>
      <c r="F10" s="324">
        <f t="shared" si="0"/>
        <v>13000001</v>
      </c>
    </row>
    <row r="11" spans="1:6" x14ac:dyDescent="0.25">
      <c r="B11" s="507"/>
      <c r="C11" s="323" t="s">
        <v>279</v>
      </c>
      <c r="D11" s="324">
        <v>0</v>
      </c>
      <c r="E11" s="324">
        <v>220000000</v>
      </c>
      <c r="F11" s="324">
        <f t="shared" si="0"/>
        <v>220000000</v>
      </c>
    </row>
    <row r="12" spans="1:6" x14ac:dyDescent="0.25">
      <c r="B12" s="507"/>
      <c r="C12" s="323" t="s">
        <v>357</v>
      </c>
      <c r="D12" s="324">
        <v>0</v>
      </c>
      <c r="E12" s="324">
        <v>150000000</v>
      </c>
      <c r="F12" s="324">
        <f t="shared" si="0"/>
        <v>150000000</v>
      </c>
    </row>
    <row r="13" spans="1:6" x14ac:dyDescent="0.25">
      <c r="B13" s="505"/>
      <c r="C13" s="323" t="s">
        <v>280</v>
      </c>
      <c r="D13" s="324">
        <v>0</v>
      </c>
      <c r="E13" s="324">
        <v>500000000</v>
      </c>
      <c r="F13" s="324">
        <f t="shared" si="0"/>
        <v>500000000</v>
      </c>
    </row>
    <row r="14" spans="1:6" x14ac:dyDescent="0.25">
      <c r="B14" s="479" t="s">
        <v>203</v>
      </c>
      <c r="C14" s="479"/>
      <c r="D14" s="325">
        <f>SUM(D10:D13)</f>
        <v>2256199</v>
      </c>
      <c r="E14" s="325">
        <f>SUM(E10:E13)</f>
        <v>880743802</v>
      </c>
      <c r="F14" s="325">
        <f t="shared" si="0"/>
        <v>883000001</v>
      </c>
    </row>
    <row r="15" spans="1:6" x14ac:dyDescent="0.25">
      <c r="B15" s="388" t="s">
        <v>229</v>
      </c>
      <c r="C15" s="389" t="s">
        <v>281</v>
      </c>
      <c r="D15" s="390">
        <v>0</v>
      </c>
      <c r="E15" s="390">
        <v>312350000</v>
      </c>
      <c r="F15" s="390">
        <f t="shared" si="0"/>
        <v>312350000</v>
      </c>
    </row>
    <row r="16" spans="1:6" x14ac:dyDescent="0.25">
      <c r="B16" s="504" t="s">
        <v>234</v>
      </c>
      <c r="C16" s="323" t="s">
        <v>277</v>
      </c>
      <c r="D16" s="324">
        <v>0</v>
      </c>
      <c r="E16" s="324">
        <v>64400000</v>
      </c>
      <c r="F16" s="324">
        <f t="shared" si="0"/>
        <v>64400000</v>
      </c>
    </row>
    <row r="17" spans="2:6" x14ac:dyDescent="0.25">
      <c r="B17" s="507"/>
      <c r="C17" s="323" t="s">
        <v>283</v>
      </c>
      <c r="D17" s="324">
        <v>0</v>
      </c>
      <c r="E17" s="324">
        <v>3226134343</v>
      </c>
      <c r="F17" s="324">
        <f t="shared" si="0"/>
        <v>3226134343</v>
      </c>
    </row>
    <row r="18" spans="2:6" x14ac:dyDescent="0.25">
      <c r="B18" s="507"/>
      <c r="C18" s="323" t="s">
        <v>281</v>
      </c>
      <c r="D18" s="324">
        <v>0</v>
      </c>
      <c r="E18" s="324">
        <v>1156818405</v>
      </c>
      <c r="F18" s="324">
        <f t="shared" si="0"/>
        <v>1156818405</v>
      </c>
    </row>
    <row r="19" spans="2:6" x14ac:dyDescent="0.25">
      <c r="B19" s="507"/>
      <c r="C19" s="323" t="s">
        <v>284</v>
      </c>
      <c r="D19" s="324">
        <v>0</v>
      </c>
      <c r="E19" s="324">
        <v>5000000000</v>
      </c>
      <c r="F19" s="324">
        <f t="shared" si="0"/>
        <v>5000000000</v>
      </c>
    </row>
    <row r="20" spans="2:6" x14ac:dyDescent="0.25">
      <c r="B20" s="507"/>
      <c r="C20" s="323" t="s">
        <v>285</v>
      </c>
      <c r="D20" s="324">
        <v>0</v>
      </c>
      <c r="E20" s="324">
        <v>4689000000</v>
      </c>
      <c r="F20" s="324">
        <f t="shared" si="0"/>
        <v>4689000000</v>
      </c>
    </row>
    <row r="21" spans="2:6" x14ac:dyDescent="0.25">
      <c r="B21" s="507"/>
      <c r="C21" s="323" t="s">
        <v>286</v>
      </c>
      <c r="D21" s="324">
        <v>0</v>
      </c>
      <c r="E21" s="324">
        <v>4700000000</v>
      </c>
      <c r="F21" s="324">
        <f t="shared" si="0"/>
        <v>4700000000</v>
      </c>
    </row>
    <row r="22" spans="2:6" x14ac:dyDescent="0.25">
      <c r="B22" s="507"/>
      <c r="C22" s="323" t="s">
        <v>279</v>
      </c>
      <c r="D22" s="324">
        <v>0</v>
      </c>
      <c r="E22" s="324">
        <v>2470000000</v>
      </c>
      <c r="F22" s="324">
        <f t="shared" si="0"/>
        <v>2470000000</v>
      </c>
    </row>
    <row r="23" spans="2:6" x14ac:dyDescent="0.25">
      <c r="B23" s="507"/>
      <c r="C23" s="323" t="s">
        <v>280</v>
      </c>
      <c r="D23" s="324">
        <v>0</v>
      </c>
      <c r="E23" s="324">
        <v>1000000000</v>
      </c>
      <c r="F23" s="324">
        <f t="shared" si="0"/>
        <v>1000000000</v>
      </c>
    </row>
    <row r="24" spans="2:6" x14ac:dyDescent="0.25">
      <c r="B24" s="507"/>
      <c r="C24" s="323" t="s">
        <v>282</v>
      </c>
      <c r="D24" s="324">
        <v>0</v>
      </c>
      <c r="E24" s="324">
        <v>250000000</v>
      </c>
      <c r="F24" s="324">
        <f t="shared" si="0"/>
        <v>250000000</v>
      </c>
    </row>
    <row r="25" spans="2:6" x14ac:dyDescent="0.25">
      <c r="B25" s="507"/>
      <c r="C25" s="323" t="s">
        <v>361</v>
      </c>
      <c r="D25" s="324">
        <v>0</v>
      </c>
      <c r="E25" s="324">
        <v>367500000</v>
      </c>
      <c r="F25" s="324">
        <f t="shared" si="0"/>
        <v>367500000</v>
      </c>
    </row>
    <row r="26" spans="2:6" x14ac:dyDescent="0.25">
      <c r="B26" s="505"/>
      <c r="C26" s="323" t="s">
        <v>291</v>
      </c>
      <c r="D26" s="324">
        <v>0</v>
      </c>
      <c r="E26" s="324">
        <v>450000000</v>
      </c>
      <c r="F26" s="324">
        <f t="shared" si="0"/>
        <v>450000000</v>
      </c>
    </row>
    <row r="27" spans="2:6" x14ac:dyDescent="0.25">
      <c r="B27" s="479" t="s">
        <v>203</v>
      </c>
      <c r="C27" s="479"/>
      <c r="D27" s="325">
        <v>0</v>
      </c>
      <c r="E27" s="325">
        <f>SUM(E16:E26)</f>
        <v>23373852748</v>
      </c>
      <c r="F27" s="325">
        <f>SUM(F16:F26)</f>
        <v>23373852748</v>
      </c>
    </row>
    <row r="28" spans="2:6" x14ac:dyDescent="0.25">
      <c r="B28" s="506" t="s">
        <v>235</v>
      </c>
      <c r="C28" s="323" t="s">
        <v>287</v>
      </c>
      <c r="D28" s="324">
        <v>0</v>
      </c>
      <c r="E28" s="324">
        <v>1485804000</v>
      </c>
      <c r="F28" s="324">
        <f t="shared" si="0"/>
        <v>1485804000</v>
      </c>
    </row>
    <row r="29" spans="2:6" x14ac:dyDescent="0.25">
      <c r="B29" s="505"/>
      <c r="C29" s="323" t="s">
        <v>279</v>
      </c>
      <c r="D29" s="324">
        <v>0</v>
      </c>
      <c r="E29" s="324">
        <v>1159000000</v>
      </c>
      <c r="F29" s="324">
        <f t="shared" si="0"/>
        <v>1159000000</v>
      </c>
    </row>
    <row r="30" spans="2:6" x14ac:dyDescent="0.25">
      <c r="B30" s="479" t="s">
        <v>203</v>
      </c>
      <c r="C30" s="479"/>
      <c r="D30" s="325">
        <v>0</v>
      </c>
      <c r="E30" s="325">
        <f>SUM(E28:E29)</f>
        <v>2644804000</v>
      </c>
      <c r="F30" s="325">
        <f t="shared" si="0"/>
        <v>2644804000</v>
      </c>
    </row>
    <row r="31" spans="2:6" x14ac:dyDescent="0.25">
      <c r="B31" s="388" t="s">
        <v>240</v>
      </c>
      <c r="C31" s="389" t="s">
        <v>367</v>
      </c>
      <c r="D31" s="390">
        <v>0</v>
      </c>
      <c r="E31" s="390">
        <v>1139000000</v>
      </c>
      <c r="F31" s="390">
        <f t="shared" si="0"/>
        <v>1139000000</v>
      </c>
    </row>
    <row r="32" spans="2:6" ht="25.5" customHeight="1" x14ac:dyDescent="0.25">
      <c r="B32" s="504" t="s">
        <v>242</v>
      </c>
      <c r="C32" s="323" t="s">
        <v>288</v>
      </c>
      <c r="D32" s="324">
        <v>0</v>
      </c>
      <c r="E32" s="324">
        <v>727250000</v>
      </c>
      <c r="F32" s="324">
        <f t="shared" si="0"/>
        <v>727250000</v>
      </c>
    </row>
    <row r="33" spans="2:6" x14ac:dyDescent="0.25">
      <c r="B33" s="507"/>
      <c r="C33" s="323" t="s">
        <v>289</v>
      </c>
      <c r="D33" s="324">
        <v>186900000</v>
      </c>
      <c r="E33" s="324">
        <v>1440000000</v>
      </c>
      <c r="F33" s="324">
        <f t="shared" si="0"/>
        <v>1626900000</v>
      </c>
    </row>
    <row r="34" spans="2:6" x14ac:dyDescent="0.25">
      <c r="B34" s="505"/>
      <c r="C34" s="323" t="s">
        <v>290</v>
      </c>
      <c r="D34" s="324">
        <v>0</v>
      </c>
      <c r="E34" s="324">
        <v>1193582000</v>
      </c>
      <c r="F34" s="324">
        <f t="shared" si="0"/>
        <v>1193582000</v>
      </c>
    </row>
    <row r="35" spans="2:6" x14ac:dyDescent="0.25">
      <c r="B35" s="479" t="s">
        <v>203</v>
      </c>
      <c r="C35" s="479"/>
      <c r="D35" s="325">
        <f>SUM(D32:D34)</f>
        <v>186900000</v>
      </c>
      <c r="E35" s="325">
        <f t="shared" ref="E35:F35" si="2">SUM(E32:E34)</f>
        <v>3360832000</v>
      </c>
      <c r="F35" s="325">
        <f t="shared" si="2"/>
        <v>3547732000</v>
      </c>
    </row>
    <row r="36" spans="2:6" x14ac:dyDescent="0.25">
      <c r="B36" s="388" t="s">
        <v>252</v>
      </c>
      <c r="C36" s="389" t="s">
        <v>368</v>
      </c>
      <c r="D36" s="390">
        <v>0</v>
      </c>
      <c r="E36" s="390">
        <v>360000000</v>
      </c>
      <c r="F36" s="390">
        <f t="shared" si="0"/>
        <v>360000000</v>
      </c>
    </row>
    <row r="37" spans="2:6" x14ac:dyDescent="0.25">
      <c r="B37" s="504" t="s">
        <v>302</v>
      </c>
      <c r="C37" s="323" t="s">
        <v>278</v>
      </c>
      <c r="D37" s="324">
        <v>0</v>
      </c>
      <c r="E37" s="324">
        <v>210000000</v>
      </c>
      <c r="F37" s="324">
        <f t="shared" si="0"/>
        <v>210000000</v>
      </c>
    </row>
    <row r="38" spans="2:6" x14ac:dyDescent="0.25">
      <c r="B38" s="507"/>
      <c r="C38" s="323" t="s">
        <v>369</v>
      </c>
      <c r="D38" s="324">
        <v>0</v>
      </c>
      <c r="E38" s="324">
        <v>140000000</v>
      </c>
      <c r="F38" s="324">
        <f t="shared" si="0"/>
        <v>140000000</v>
      </c>
    </row>
    <row r="39" spans="2:6" x14ac:dyDescent="0.25">
      <c r="B39" s="505"/>
      <c r="C39" s="323" t="s">
        <v>370</v>
      </c>
      <c r="D39" s="324">
        <v>0</v>
      </c>
      <c r="E39" s="324">
        <v>1480000000</v>
      </c>
      <c r="F39" s="324">
        <f t="shared" si="0"/>
        <v>1480000000</v>
      </c>
    </row>
    <row r="40" spans="2:6" x14ac:dyDescent="0.25">
      <c r="B40" s="479" t="s">
        <v>203</v>
      </c>
      <c r="C40" s="479"/>
      <c r="D40" s="325">
        <v>0</v>
      </c>
      <c r="E40" s="325">
        <f>SUM(E37:E39)</f>
        <v>1830000000</v>
      </c>
      <c r="F40" s="325">
        <f t="shared" si="0"/>
        <v>1830000000</v>
      </c>
    </row>
    <row r="41" spans="2:6" x14ac:dyDescent="0.25">
      <c r="B41" s="388" t="s">
        <v>243</v>
      </c>
      <c r="C41" s="389" t="s">
        <v>278</v>
      </c>
      <c r="D41" s="390">
        <v>3372149</v>
      </c>
      <c r="E41" s="390">
        <v>16057851</v>
      </c>
      <c r="F41" s="390">
        <f t="shared" si="0"/>
        <v>19430000</v>
      </c>
    </row>
    <row r="42" spans="2:6" x14ac:dyDescent="0.25">
      <c r="B42" s="391" t="s">
        <v>245</v>
      </c>
      <c r="C42" s="392" t="s">
        <v>277</v>
      </c>
      <c r="D42" s="393">
        <v>7665000</v>
      </c>
      <c r="E42" s="393">
        <v>36500000</v>
      </c>
      <c r="F42" s="393">
        <f t="shared" si="0"/>
        <v>44165000</v>
      </c>
    </row>
    <row r="43" spans="2:6" x14ac:dyDescent="0.25">
      <c r="B43" s="509" t="s">
        <v>248</v>
      </c>
      <c r="C43" s="323" t="s">
        <v>283</v>
      </c>
      <c r="D43" s="324">
        <v>0</v>
      </c>
      <c r="E43" s="324">
        <v>100000000</v>
      </c>
      <c r="F43" s="324">
        <f t="shared" si="0"/>
        <v>100000000</v>
      </c>
    </row>
    <row r="44" spans="2:6" x14ac:dyDescent="0.25">
      <c r="B44" s="510"/>
      <c r="C44" s="323" t="s">
        <v>291</v>
      </c>
      <c r="D44" s="324">
        <v>0</v>
      </c>
      <c r="E44" s="324">
        <v>550371345</v>
      </c>
      <c r="F44" s="324">
        <f t="shared" si="0"/>
        <v>550371345</v>
      </c>
    </row>
    <row r="45" spans="2:6" x14ac:dyDescent="0.25">
      <c r="B45" s="479" t="s">
        <v>203</v>
      </c>
      <c r="C45" s="479"/>
      <c r="D45" s="325">
        <v>0</v>
      </c>
      <c r="E45" s="325">
        <f>SUM(E43:E44)</f>
        <v>650371345</v>
      </c>
      <c r="F45" s="325">
        <f>SUM(F43:F44)</f>
        <v>650371345</v>
      </c>
    </row>
    <row r="46" spans="2:6" x14ac:dyDescent="0.25">
      <c r="B46" s="508" t="s">
        <v>249</v>
      </c>
      <c r="C46" s="508"/>
      <c r="D46" s="396">
        <f>D6+D9+D14+D15+D27+D30+D35+D40+D41+D42+D45+I45+D31+D36</f>
        <v>362353466</v>
      </c>
      <c r="E46" s="396">
        <f t="shared" ref="E46:F46" si="3">E6+E9+E14+E15+E27+E30+E35+E40+E41+E42+E45+J45+E31+E36</f>
        <v>34988612613</v>
      </c>
      <c r="F46" s="396">
        <f t="shared" si="3"/>
        <v>35350966079</v>
      </c>
    </row>
  </sheetData>
  <mergeCells count="17">
    <mergeCell ref="B45:C45"/>
    <mergeCell ref="B46:C46"/>
    <mergeCell ref="B14:C14"/>
    <mergeCell ref="B27:C27"/>
    <mergeCell ref="B30:C30"/>
    <mergeCell ref="B35:C35"/>
    <mergeCell ref="B40:C40"/>
    <mergeCell ref="B16:B26"/>
    <mergeCell ref="B32:B34"/>
    <mergeCell ref="B37:B39"/>
    <mergeCell ref="B43:B44"/>
    <mergeCell ref="B28:B29"/>
    <mergeCell ref="B3:F3"/>
    <mergeCell ref="B4:E4"/>
    <mergeCell ref="B7:B8"/>
    <mergeCell ref="B9:C9"/>
    <mergeCell ref="B10:B13"/>
  </mergeCells>
  <pageMargins left="0.78740157499999996" right="0.78740157499999996" top="0.984251969" bottom="0.984251969" header="0.4921259845" footer="0.4921259845"/>
  <pageSetup paperSize="9"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6"/>
  <sheetViews>
    <sheetView showGridLines="0" zoomScale="85" zoomScaleNormal="85" workbookViewId="0"/>
  </sheetViews>
  <sheetFormatPr defaultColWidth="9.1640625" defaultRowHeight="12.75" x14ac:dyDescent="0.2"/>
  <cols>
    <col min="1" max="1" width="3.33203125" style="1" customWidth="1"/>
    <col min="2" max="2" width="98.83203125" style="1" customWidth="1"/>
    <col min="3" max="9" width="21.83203125" style="1" customWidth="1"/>
    <col min="10" max="10" width="19.1640625" style="1" customWidth="1"/>
    <col min="11" max="11" width="20.83203125" style="1" customWidth="1"/>
    <col min="12" max="12" width="29.1640625" style="1" customWidth="1"/>
    <col min="13" max="16384" width="9.1640625" style="1"/>
  </cols>
  <sheetData>
    <row r="1" spans="2:11" ht="15.75" x14ac:dyDescent="0.25">
      <c r="F1" s="63"/>
      <c r="G1" s="64"/>
      <c r="H1" s="65"/>
      <c r="I1" s="24" t="s">
        <v>250</v>
      </c>
    </row>
    <row r="3" spans="2:11" ht="18.75" x14ac:dyDescent="0.3">
      <c r="B3" s="511" t="s">
        <v>198</v>
      </c>
      <c r="C3" s="511"/>
      <c r="D3" s="511"/>
      <c r="E3" s="511"/>
      <c r="F3" s="511"/>
      <c r="G3" s="511"/>
      <c r="H3" s="511"/>
      <c r="I3" s="511"/>
      <c r="J3" s="4"/>
      <c r="K3" s="4"/>
    </row>
    <row r="4" spans="2:11" ht="15" x14ac:dyDescent="0.25">
      <c r="B4" s="25"/>
      <c r="I4" s="26" t="s">
        <v>2</v>
      </c>
    </row>
    <row r="5" spans="2:11" ht="65.25" customHeight="1" x14ac:dyDescent="0.2">
      <c r="B5" s="27" t="s">
        <v>310</v>
      </c>
      <c r="C5" s="28" t="s">
        <v>309</v>
      </c>
      <c r="D5" s="29" t="s">
        <v>187</v>
      </c>
      <c r="E5" s="30" t="s">
        <v>188</v>
      </c>
      <c r="F5" s="30" t="s">
        <v>189</v>
      </c>
      <c r="G5" s="30" t="s">
        <v>190</v>
      </c>
      <c r="H5" s="30" t="s">
        <v>191</v>
      </c>
      <c r="I5" s="31" t="s">
        <v>192</v>
      </c>
    </row>
    <row r="6" spans="2:11" ht="27.95" customHeight="1" x14ac:dyDescent="0.2">
      <c r="B6" s="32" t="s">
        <v>193</v>
      </c>
      <c r="C6" s="33">
        <f>SUM(D6:I6)</f>
        <v>143875757080</v>
      </c>
      <c r="D6" s="34">
        <f>D7+D9+D12</f>
        <v>88425000000</v>
      </c>
      <c r="E6" s="35">
        <f t="shared" ref="E6:I6" si="0">E7+E9+E12</f>
        <v>6230539000</v>
      </c>
      <c r="F6" s="35">
        <f t="shared" si="0"/>
        <v>1689418080</v>
      </c>
      <c r="G6" s="35">
        <f t="shared" si="0"/>
        <v>76000000</v>
      </c>
      <c r="H6" s="35">
        <f t="shared" si="0"/>
        <v>4124000000</v>
      </c>
      <c r="I6" s="36">
        <f t="shared" si="0"/>
        <v>43330800000</v>
      </c>
    </row>
    <row r="7" spans="2:11" ht="27.95" customHeight="1" x14ac:dyDescent="0.2">
      <c r="B7" s="37" t="s">
        <v>267</v>
      </c>
      <c r="C7" s="38">
        <f t="shared" ref="C7:C20" si="1">SUM(D7:I7)</f>
        <v>33586000000</v>
      </c>
      <c r="D7" s="39">
        <f>28800000000-600000000+2900000000</f>
        <v>31100000000</v>
      </c>
      <c r="E7" s="40">
        <v>0</v>
      </c>
      <c r="F7" s="40">
        <v>200000000</v>
      </c>
      <c r="G7" s="40">
        <v>0</v>
      </c>
      <c r="H7" s="40">
        <v>0</v>
      </c>
      <c r="I7" s="41">
        <f>2246000000+40000000</f>
        <v>2286000000</v>
      </c>
      <c r="J7" s="3"/>
      <c r="K7" s="2"/>
    </row>
    <row r="8" spans="2:11" ht="27.95" customHeight="1" x14ac:dyDescent="0.2">
      <c r="B8" s="42" t="s">
        <v>268</v>
      </c>
      <c r="C8" s="38">
        <f t="shared" si="1"/>
        <v>15600000000</v>
      </c>
      <c r="D8" s="39">
        <f>14500000000+1100000000</f>
        <v>15600000000</v>
      </c>
      <c r="E8" s="40">
        <v>0</v>
      </c>
      <c r="F8" s="40">
        <v>0</v>
      </c>
      <c r="G8" s="40">
        <v>0</v>
      </c>
      <c r="H8" s="40">
        <v>0</v>
      </c>
      <c r="I8" s="41">
        <v>0</v>
      </c>
      <c r="J8" s="3"/>
      <c r="K8" s="2"/>
    </row>
    <row r="9" spans="2:11" ht="27.95" customHeight="1" x14ac:dyDescent="0.2">
      <c r="B9" s="37" t="s">
        <v>194</v>
      </c>
      <c r="C9" s="38">
        <f t="shared" si="1"/>
        <v>1342300000</v>
      </c>
      <c r="D9" s="39">
        <f>D10+D11</f>
        <v>0</v>
      </c>
      <c r="E9" s="40">
        <f t="shared" ref="E9:I9" si="2">E10+E11</f>
        <v>226800000</v>
      </c>
      <c r="F9" s="40">
        <f t="shared" si="2"/>
        <v>70000000</v>
      </c>
      <c r="G9" s="40">
        <f t="shared" si="2"/>
        <v>38500000</v>
      </c>
      <c r="H9" s="40">
        <f t="shared" si="2"/>
        <v>784000000</v>
      </c>
      <c r="I9" s="41">
        <f t="shared" si="2"/>
        <v>223000000</v>
      </c>
      <c r="J9" s="3"/>
    </row>
    <row r="10" spans="2:11" ht="27.95" customHeight="1" x14ac:dyDescent="0.2">
      <c r="B10" s="42" t="s">
        <v>269</v>
      </c>
      <c r="C10" s="38">
        <f t="shared" si="1"/>
        <v>1133800000</v>
      </c>
      <c r="D10" s="39">
        <v>0</v>
      </c>
      <c r="E10" s="40">
        <v>226800000</v>
      </c>
      <c r="F10" s="40">
        <v>0</v>
      </c>
      <c r="G10" s="40">
        <v>0</v>
      </c>
      <c r="H10" s="40">
        <v>690000000</v>
      </c>
      <c r="I10" s="41">
        <f>240900000-23900000</f>
        <v>217000000</v>
      </c>
      <c r="J10" s="3"/>
    </row>
    <row r="11" spans="2:11" ht="27.95" customHeight="1" x14ac:dyDescent="0.2">
      <c r="B11" s="42" t="s">
        <v>270</v>
      </c>
      <c r="C11" s="38">
        <f t="shared" si="1"/>
        <v>208500000</v>
      </c>
      <c r="D11" s="39">
        <v>0</v>
      </c>
      <c r="E11" s="40">
        <v>0</v>
      </c>
      <c r="F11" s="40">
        <v>70000000</v>
      </c>
      <c r="G11" s="40">
        <v>38500000</v>
      </c>
      <c r="H11" s="40">
        <v>94000000</v>
      </c>
      <c r="I11" s="41">
        <f>6700000-700000</f>
        <v>6000000</v>
      </c>
      <c r="J11" s="3"/>
    </row>
    <row r="12" spans="2:11" ht="27.95" customHeight="1" x14ac:dyDescent="0.2">
      <c r="B12" s="37" t="s">
        <v>195</v>
      </c>
      <c r="C12" s="38">
        <f t="shared" si="1"/>
        <v>108947457080</v>
      </c>
      <c r="D12" s="43">
        <f>D13+D14+D15+D16+D17</f>
        <v>57325000000</v>
      </c>
      <c r="E12" s="44">
        <f t="shared" ref="E12:I12" si="3">E13+E14+E15+E16+E17</f>
        <v>6003739000</v>
      </c>
      <c r="F12" s="44">
        <f t="shared" si="3"/>
        <v>1419418080</v>
      </c>
      <c r="G12" s="44">
        <f t="shared" si="3"/>
        <v>37500000</v>
      </c>
      <c r="H12" s="44">
        <f t="shared" si="3"/>
        <v>3340000000</v>
      </c>
      <c r="I12" s="45">
        <f t="shared" si="3"/>
        <v>40821800000</v>
      </c>
    </row>
    <row r="13" spans="2:11" ht="27.95" customHeight="1" x14ac:dyDescent="0.2">
      <c r="B13" s="42" t="s">
        <v>392</v>
      </c>
      <c r="C13" s="38">
        <f t="shared" si="1"/>
        <v>65751857080</v>
      </c>
      <c r="D13" s="39">
        <f>65625000000+600000000-2900000000-6000000000</f>
        <v>57325000000</v>
      </c>
      <c r="E13" s="40">
        <f>16824939000+1650000000*0-11000000000</f>
        <v>5824939000</v>
      </c>
      <c r="F13" s="40">
        <f>1592400000+34018080-7000000-200000000</f>
        <v>1419418080</v>
      </c>
      <c r="G13" s="40">
        <v>2500000</v>
      </c>
      <c r="H13" s="40">
        <v>1090000000</v>
      </c>
      <c r="I13" s="41">
        <f>3500803+552299197-465800000</f>
        <v>90000000</v>
      </c>
      <c r="J13" s="2"/>
    </row>
    <row r="14" spans="2:11" ht="27.95" customHeight="1" x14ac:dyDescent="0.2">
      <c r="B14" s="46" t="s">
        <v>271</v>
      </c>
      <c r="C14" s="38">
        <f t="shared" si="1"/>
        <v>2715800000</v>
      </c>
      <c r="D14" s="39">
        <v>0</v>
      </c>
      <c r="E14" s="40">
        <v>0</v>
      </c>
      <c r="F14" s="40">
        <v>0</v>
      </c>
      <c r="G14" s="40">
        <v>0</v>
      </c>
      <c r="H14" s="40">
        <v>2250000000</v>
      </c>
      <c r="I14" s="41">
        <v>465800000</v>
      </c>
    </row>
    <row r="15" spans="2:11" ht="27.95" customHeight="1" x14ac:dyDescent="0.2">
      <c r="B15" s="46" t="s">
        <v>272</v>
      </c>
      <c r="C15" s="38">
        <f t="shared" si="1"/>
        <v>266000000</v>
      </c>
      <c r="D15" s="39">
        <v>0</v>
      </c>
      <c r="E15" s="40">
        <v>0</v>
      </c>
      <c r="F15" s="40">
        <v>0</v>
      </c>
      <c r="G15" s="40">
        <v>0</v>
      </c>
      <c r="H15" s="40">
        <v>0</v>
      </c>
      <c r="I15" s="41">
        <f>266499197-499197</f>
        <v>266000000</v>
      </c>
    </row>
    <row r="16" spans="2:11" ht="27.95" customHeight="1" x14ac:dyDescent="0.2">
      <c r="B16" s="46" t="s">
        <v>273</v>
      </c>
      <c r="C16" s="38">
        <f t="shared" si="1"/>
        <v>40000000000</v>
      </c>
      <c r="D16" s="39">
        <v>0</v>
      </c>
      <c r="E16" s="40">
        <v>0</v>
      </c>
      <c r="F16" s="40"/>
      <c r="G16" s="40">
        <v>0</v>
      </c>
      <c r="H16" s="40">
        <v>0</v>
      </c>
      <c r="I16" s="41">
        <f>32000000000+8000000000</f>
        <v>40000000000</v>
      </c>
      <c r="J16" s="2"/>
    </row>
    <row r="17" spans="2:10" ht="27.95" customHeight="1" x14ac:dyDescent="0.2">
      <c r="B17" s="47" t="s">
        <v>274</v>
      </c>
      <c r="C17" s="48">
        <f t="shared" si="1"/>
        <v>213800000</v>
      </c>
      <c r="D17" s="49">
        <v>0</v>
      </c>
      <c r="E17" s="50">
        <v>178800000</v>
      </c>
      <c r="F17" s="50">
        <v>0</v>
      </c>
      <c r="G17" s="50">
        <v>35000000</v>
      </c>
      <c r="H17" s="50">
        <v>0</v>
      </c>
      <c r="I17" s="51">
        <v>0</v>
      </c>
      <c r="J17" s="2"/>
    </row>
    <row r="18" spans="2:10" ht="27.95" customHeight="1" x14ac:dyDescent="0.2">
      <c r="B18" s="52" t="s">
        <v>196</v>
      </c>
      <c r="C18" s="33">
        <f t="shared" si="1"/>
        <v>144150337080</v>
      </c>
      <c r="D18" s="34">
        <f>94425000000-6000000000</f>
        <v>88425000000</v>
      </c>
      <c r="E18" s="35">
        <f>17230539000+1650000000*0-11000000000</f>
        <v>6230539000</v>
      </c>
      <c r="F18" s="35">
        <f>1862400000+34018080-7000000-200000000</f>
        <v>1689418080</v>
      </c>
      <c r="G18" s="35">
        <v>75580000</v>
      </c>
      <c r="H18" s="35">
        <v>4399000000</v>
      </c>
      <c r="I18" s="36">
        <f>36545200000+12323800000-5538200000</f>
        <v>43330800000</v>
      </c>
    </row>
    <row r="19" spans="2:10" ht="27.95" customHeight="1" thickBot="1" x14ac:dyDescent="0.25">
      <c r="B19" s="53" t="s">
        <v>275</v>
      </c>
      <c r="C19" s="54">
        <f t="shared" si="1"/>
        <v>1766000000</v>
      </c>
      <c r="D19" s="55">
        <v>0</v>
      </c>
      <c r="E19" s="56">
        <v>0</v>
      </c>
      <c r="F19" s="56">
        <v>0</v>
      </c>
      <c r="G19" s="56">
        <v>0</v>
      </c>
      <c r="H19" s="56">
        <f>1287000000+100000000</f>
        <v>1387000000</v>
      </c>
      <c r="I19" s="57">
        <f>250000000+129000000</f>
        <v>379000000</v>
      </c>
    </row>
    <row r="20" spans="2:10" ht="27.95" customHeight="1" thickTop="1" x14ac:dyDescent="0.2">
      <c r="B20" s="58" t="s">
        <v>197</v>
      </c>
      <c r="C20" s="59">
        <f t="shared" si="1"/>
        <v>-274580000</v>
      </c>
      <c r="D20" s="60">
        <f>D6-D18</f>
        <v>0</v>
      </c>
      <c r="E20" s="61">
        <f t="shared" ref="E20:I20" si="4">E6-E18</f>
        <v>0</v>
      </c>
      <c r="F20" s="61">
        <f t="shared" si="4"/>
        <v>0</v>
      </c>
      <c r="G20" s="61">
        <f t="shared" si="4"/>
        <v>420000</v>
      </c>
      <c r="H20" s="61">
        <f t="shared" si="4"/>
        <v>-275000000</v>
      </c>
      <c r="I20" s="62">
        <f t="shared" si="4"/>
        <v>0</v>
      </c>
    </row>
    <row r="21" spans="2:10" x14ac:dyDescent="0.2">
      <c r="D21" s="2"/>
      <c r="E21" s="2"/>
      <c r="F21" s="2"/>
      <c r="G21" s="2"/>
      <c r="H21" s="2"/>
      <c r="I21" s="2"/>
    </row>
    <row r="22" spans="2:10" x14ac:dyDescent="0.2">
      <c r="C22" s="2"/>
      <c r="D22" s="2"/>
      <c r="E22" s="2"/>
      <c r="F22" s="2"/>
      <c r="H22" s="2"/>
      <c r="I22" s="2"/>
    </row>
    <row r="23" spans="2:10" x14ac:dyDescent="0.2">
      <c r="H23" s="2"/>
    </row>
    <row r="24" spans="2:10" x14ac:dyDescent="0.2">
      <c r="D24" s="2"/>
    </row>
    <row r="26" spans="2:10" x14ac:dyDescent="0.2">
      <c r="C26" s="2"/>
    </row>
  </sheetData>
  <mergeCells count="1">
    <mergeCell ref="B3:I3"/>
  </mergeCells>
  <pageMargins left="0.31496062992125984" right="0.31496062992125984" top="0.78740157480314965" bottom="0.78740157480314965" header="0.31496062992125984" footer="0.31496062992125984"/>
  <pageSetup paperSize="9" scale="6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6"/>
  <sheetViews>
    <sheetView showGridLines="0" zoomScale="85" zoomScaleNormal="85" workbookViewId="0">
      <selection activeCell="G16" sqref="G16"/>
    </sheetView>
  </sheetViews>
  <sheetFormatPr defaultColWidth="9.1640625" defaultRowHeight="12.75" x14ac:dyDescent="0.2"/>
  <cols>
    <col min="1" max="1" width="3.33203125" style="1" customWidth="1"/>
    <col min="2" max="2" width="98.33203125" style="1" customWidth="1"/>
    <col min="3" max="9" width="21.83203125" style="1" customWidth="1"/>
    <col min="10" max="10" width="19.1640625" style="1" customWidth="1"/>
    <col min="11" max="16384" width="9.1640625" style="1"/>
  </cols>
  <sheetData>
    <row r="1" spans="2:10" ht="15.75" x14ac:dyDescent="0.25">
      <c r="F1" s="63"/>
      <c r="G1" s="64"/>
      <c r="H1" s="65"/>
      <c r="I1" s="24" t="s">
        <v>253</v>
      </c>
    </row>
    <row r="3" spans="2:10" ht="18.75" x14ac:dyDescent="0.3">
      <c r="B3" s="511" t="s">
        <v>276</v>
      </c>
      <c r="C3" s="511"/>
      <c r="D3" s="511"/>
      <c r="E3" s="511"/>
      <c r="F3" s="511"/>
      <c r="G3" s="511"/>
      <c r="H3" s="511"/>
      <c r="I3" s="511"/>
      <c r="J3" s="4"/>
    </row>
    <row r="4" spans="2:10" ht="15" x14ac:dyDescent="0.25">
      <c r="B4" s="25"/>
      <c r="I4" s="26" t="s">
        <v>2</v>
      </c>
    </row>
    <row r="5" spans="2:10" ht="65.25" customHeight="1" x14ac:dyDescent="0.2">
      <c r="B5" s="27" t="s">
        <v>310</v>
      </c>
      <c r="C5" s="28" t="s">
        <v>309</v>
      </c>
      <c r="D5" s="29" t="s">
        <v>187</v>
      </c>
      <c r="E5" s="30" t="s">
        <v>188</v>
      </c>
      <c r="F5" s="30" t="s">
        <v>189</v>
      </c>
      <c r="G5" s="30" t="s">
        <v>190</v>
      </c>
      <c r="H5" s="30" t="s">
        <v>191</v>
      </c>
      <c r="I5" s="31" t="s">
        <v>192</v>
      </c>
    </row>
    <row r="6" spans="2:10" ht="27.95" customHeight="1" x14ac:dyDescent="0.2">
      <c r="B6" s="32" t="s">
        <v>193</v>
      </c>
      <c r="C6" s="33">
        <f t="shared" ref="C6:C20" si="0">SUM(D6:I6)</f>
        <v>140981939000</v>
      </c>
      <c r="D6" s="34">
        <f>D7+D9+D12</f>
        <v>88525000000</v>
      </c>
      <c r="E6" s="35">
        <f t="shared" ref="E6:I6" si="1">E7+E9+E12</f>
        <v>6190539000</v>
      </c>
      <c r="F6" s="35">
        <f t="shared" si="1"/>
        <v>1662400000</v>
      </c>
      <c r="G6" s="35">
        <f t="shared" si="1"/>
        <v>76000000</v>
      </c>
      <c r="H6" s="35">
        <f t="shared" si="1"/>
        <v>1862000000</v>
      </c>
      <c r="I6" s="36">
        <f t="shared" si="1"/>
        <v>42666000000</v>
      </c>
    </row>
    <row r="7" spans="2:10" ht="27.95" customHeight="1" x14ac:dyDescent="0.2">
      <c r="B7" s="37" t="s">
        <v>267</v>
      </c>
      <c r="C7" s="38">
        <f t="shared" si="0"/>
        <v>34006000000</v>
      </c>
      <c r="D7" s="39">
        <f>29000000000+900000000+1500000000</f>
        <v>31400000000</v>
      </c>
      <c r="E7" s="40">
        <v>0</v>
      </c>
      <c r="F7" s="40">
        <v>200000000</v>
      </c>
      <c r="G7" s="40">
        <v>0</v>
      </c>
      <c r="H7" s="40">
        <v>0</v>
      </c>
      <c r="I7" s="41">
        <f>2331000000+75000000</f>
        <v>2406000000</v>
      </c>
      <c r="J7" s="3"/>
    </row>
    <row r="8" spans="2:10" ht="27.95" customHeight="1" x14ac:dyDescent="0.2">
      <c r="B8" s="42" t="s">
        <v>268</v>
      </c>
      <c r="C8" s="38">
        <f t="shared" si="0"/>
        <v>1560000000</v>
      </c>
      <c r="D8" s="39">
        <v>1560000000</v>
      </c>
      <c r="E8" s="40">
        <v>0</v>
      </c>
      <c r="F8" s="40">
        <v>0</v>
      </c>
      <c r="G8" s="40">
        <v>0</v>
      </c>
      <c r="H8" s="40">
        <v>0</v>
      </c>
      <c r="I8" s="41">
        <v>0</v>
      </c>
      <c r="J8" s="3"/>
    </row>
    <row r="9" spans="2:10" ht="27.95" customHeight="1" x14ac:dyDescent="0.2">
      <c r="B9" s="37" t="s">
        <v>194</v>
      </c>
      <c r="C9" s="38">
        <f t="shared" si="0"/>
        <v>1325300000</v>
      </c>
      <c r="D9" s="39">
        <f>D10+D11</f>
        <v>0</v>
      </c>
      <c r="E9" s="40">
        <f t="shared" ref="E9:I9" si="2">E10+E11</f>
        <v>226800000</v>
      </c>
      <c r="F9" s="40">
        <f t="shared" si="2"/>
        <v>70000000</v>
      </c>
      <c r="G9" s="40">
        <f t="shared" si="2"/>
        <v>38500000</v>
      </c>
      <c r="H9" s="40">
        <f t="shared" si="2"/>
        <v>775000000</v>
      </c>
      <c r="I9" s="41">
        <f t="shared" si="2"/>
        <v>215000000</v>
      </c>
      <c r="J9" s="3"/>
    </row>
    <row r="10" spans="2:10" ht="27.95" customHeight="1" x14ac:dyDescent="0.2">
      <c r="B10" s="42" t="s">
        <v>269</v>
      </c>
      <c r="C10" s="38">
        <f t="shared" si="0"/>
        <v>1116800000</v>
      </c>
      <c r="D10" s="39">
        <v>0</v>
      </c>
      <c r="E10" s="40">
        <v>226800000</v>
      </c>
      <c r="F10" s="40">
        <v>0</v>
      </c>
      <c r="G10" s="40">
        <v>0</v>
      </c>
      <c r="H10" s="40">
        <v>680000000</v>
      </c>
      <c r="I10" s="41">
        <f>202900000+7100000</f>
        <v>210000000</v>
      </c>
      <c r="J10" s="3"/>
    </row>
    <row r="11" spans="2:10" ht="27.95" customHeight="1" x14ac:dyDescent="0.2">
      <c r="B11" s="42" t="s">
        <v>270</v>
      </c>
      <c r="C11" s="38">
        <f t="shared" si="0"/>
        <v>208500000</v>
      </c>
      <c r="D11" s="39">
        <v>0</v>
      </c>
      <c r="E11" s="40">
        <v>0</v>
      </c>
      <c r="F11" s="40">
        <v>70000000</v>
      </c>
      <c r="G11" s="40">
        <v>38500000</v>
      </c>
      <c r="H11" s="40">
        <v>95000000</v>
      </c>
      <c r="I11" s="41">
        <f>5700000-700000</f>
        <v>5000000</v>
      </c>
      <c r="J11" s="3"/>
    </row>
    <row r="12" spans="2:10" ht="27.95" customHeight="1" x14ac:dyDescent="0.2">
      <c r="B12" s="37" t="s">
        <v>195</v>
      </c>
      <c r="C12" s="38">
        <f t="shared" si="0"/>
        <v>105650639000</v>
      </c>
      <c r="D12" s="43">
        <f>D13+D14+D15+D16+D17</f>
        <v>57125000000</v>
      </c>
      <c r="E12" s="44">
        <f t="shared" ref="E12:I12" si="3">E13+E14+E15+E16+E17</f>
        <v>5963739000</v>
      </c>
      <c r="F12" s="44">
        <f t="shared" si="3"/>
        <v>1392400000</v>
      </c>
      <c r="G12" s="44">
        <f t="shared" si="3"/>
        <v>37500000</v>
      </c>
      <c r="H12" s="44">
        <f t="shared" si="3"/>
        <v>1087000000</v>
      </c>
      <c r="I12" s="45">
        <f t="shared" si="3"/>
        <v>40045000000</v>
      </c>
    </row>
    <row r="13" spans="2:10" ht="27.95" customHeight="1" x14ac:dyDescent="0.2">
      <c r="B13" s="42" t="s">
        <v>392</v>
      </c>
      <c r="C13" s="38">
        <f t="shared" si="0"/>
        <v>65431839000</v>
      </c>
      <c r="D13" s="39">
        <f>65525000000-900000000-1500000000-6000000000</f>
        <v>57125000000</v>
      </c>
      <c r="E13" s="40">
        <f>16824939000+1650000000*0-11000000000</f>
        <v>5824939000</v>
      </c>
      <c r="F13" s="40">
        <f>1592400000+7000000*0-200000000</f>
        <v>1392400000</v>
      </c>
      <c r="G13" s="40">
        <v>2500000</v>
      </c>
      <c r="H13" s="40">
        <v>1087000000</v>
      </c>
      <c r="I13" s="41">
        <f>3000000-3000000</f>
        <v>0</v>
      </c>
    </row>
    <row r="14" spans="2:10" ht="27.95" customHeight="1" x14ac:dyDescent="0.2">
      <c r="B14" s="46" t="s">
        <v>271</v>
      </c>
      <c r="C14" s="38">
        <f t="shared" si="0"/>
        <v>0</v>
      </c>
      <c r="D14" s="39">
        <v>0</v>
      </c>
      <c r="E14" s="40">
        <v>0</v>
      </c>
      <c r="F14" s="40">
        <v>0</v>
      </c>
      <c r="G14" s="40">
        <v>0</v>
      </c>
      <c r="H14" s="40">
        <v>0</v>
      </c>
      <c r="I14" s="41">
        <v>0</v>
      </c>
    </row>
    <row r="15" spans="2:10" ht="27.95" customHeight="1" x14ac:dyDescent="0.2">
      <c r="B15" s="46" t="s">
        <v>272</v>
      </c>
      <c r="C15" s="38">
        <f t="shared" si="0"/>
        <v>0</v>
      </c>
      <c r="D15" s="39">
        <v>0</v>
      </c>
      <c r="E15" s="40">
        <v>0</v>
      </c>
      <c r="F15" s="40">
        <v>0</v>
      </c>
      <c r="G15" s="40">
        <v>0</v>
      </c>
      <c r="H15" s="40">
        <v>0</v>
      </c>
      <c r="I15" s="41">
        <f>2000000-2000000</f>
        <v>0</v>
      </c>
    </row>
    <row r="16" spans="2:10" ht="27.95" customHeight="1" x14ac:dyDescent="0.2">
      <c r="B16" s="46" t="s">
        <v>273</v>
      </c>
      <c r="C16" s="38">
        <f t="shared" si="0"/>
        <v>40045000000</v>
      </c>
      <c r="D16" s="39">
        <v>0</v>
      </c>
      <c r="E16" s="40">
        <v>0</v>
      </c>
      <c r="F16" s="40">
        <v>0</v>
      </c>
      <c r="G16" s="40">
        <v>0</v>
      </c>
      <c r="H16" s="40">
        <v>0</v>
      </c>
      <c r="I16" s="41">
        <f>35000000000+5045000000</f>
        <v>40045000000</v>
      </c>
      <c r="J16" s="2"/>
    </row>
    <row r="17" spans="2:10" ht="27.95" customHeight="1" x14ac:dyDescent="0.2">
      <c r="B17" s="47" t="s">
        <v>274</v>
      </c>
      <c r="C17" s="48">
        <f t="shared" si="0"/>
        <v>173800000</v>
      </c>
      <c r="D17" s="49">
        <v>0</v>
      </c>
      <c r="E17" s="50">
        <v>138800000</v>
      </c>
      <c r="F17" s="50">
        <v>0</v>
      </c>
      <c r="G17" s="50">
        <v>35000000</v>
      </c>
      <c r="H17" s="50">
        <v>0</v>
      </c>
      <c r="I17" s="51">
        <v>0</v>
      </c>
      <c r="J17" s="2"/>
    </row>
    <row r="18" spans="2:10" ht="27.95" customHeight="1" x14ac:dyDescent="0.2">
      <c r="B18" s="52" t="s">
        <v>196</v>
      </c>
      <c r="C18" s="33">
        <f t="shared" si="0"/>
        <v>141145519000</v>
      </c>
      <c r="D18" s="34">
        <f>94525000000-6000000000</f>
        <v>88525000000</v>
      </c>
      <c r="E18" s="35">
        <f>17190539000+1650000000*0-11000000000</f>
        <v>6190539000</v>
      </c>
      <c r="F18" s="35">
        <f>1862400000+7000000*0-200000000</f>
        <v>1662400000</v>
      </c>
      <c r="G18" s="35">
        <v>75580000</v>
      </c>
      <c r="H18" s="35">
        <v>2026000000</v>
      </c>
      <c r="I18" s="36">
        <f>39380400000+12452600000-9167000000</f>
        <v>42666000000</v>
      </c>
    </row>
    <row r="19" spans="2:10" ht="27.95" customHeight="1" thickBot="1" x14ac:dyDescent="0.25">
      <c r="B19" s="53" t="s">
        <v>275</v>
      </c>
      <c r="C19" s="54">
        <f t="shared" si="0"/>
        <v>1578000000</v>
      </c>
      <c r="D19" s="55">
        <v>0</v>
      </c>
      <c r="E19" s="56">
        <v>0</v>
      </c>
      <c r="F19" s="56">
        <v>0</v>
      </c>
      <c r="G19" s="56">
        <v>0</v>
      </c>
      <c r="H19" s="56">
        <v>1268000000</v>
      </c>
      <c r="I19" s="57">
        <v>310000000</v>
      </c>
    </row>
    <row r="20" spans="2:10" ht="27.95" customHeight="1" thickTop="1" x14ac:dyDescent="0.2">
      <c r="B20" s="58" t="s">
        <v>197</v>
      </c>
      <c r="C20" s="59">
        <f t="shared" si="0"/>
        <v>-163580000</v>
      </c>
      <c r="D20" s="60">
        <f>D6-D18</f>
        <v>0</v>
      </c>
      <c r="E20" s="61">
        <f t="shared" ref="E20:I20" si="4">E6-E18</f>
        <v>0</v>
      </c>
      <c r="F20" s="61">
        <f t="shared" si="4"/>
        <v>0</v>
      </c>
      <c r="G20" s="61">
        <f t="shared" si="4"/>
        <v>420000</v>
      </c>
      <c r="H20" s="61">
        <f t="shared" si="4"/>
        <v>-164000000</v>
      </c>
      <c r="I20" s="62">
        <f t="shared" si="4"/>
        <v>0</v>
      </c>
    </row>
    <row r="21" spans="2:10" x14ac:dyDescent="0.2">
      <c r="D21" s="2"/>
      <c r="E21" s="2"/>
      <c r="F21" s="2"/>
      <c r="G21" s="2"/>
      <c r="H21" s="2"/>
      <c r="I21" s="2"/>
    </row>
    <row r="22" spans="2:10" x14ac:dyDescent="0.2">
      <c r="C22" s="2"/>
      <c r="D22" s="2"/>
      <c r="E22" s="2"/>
      <c r="F22" s="2"/>
      <c r="H22" s="2"/>
    </row>
    <row r="24" spans="2:10" x14ac:dyDescent="0.2">
      <c r="D24" s="2"/>
    </row>
    <row r="26" spans="2:10" x14ac:dyDescent="0.2">
      <c r="C26" s="2"/>
    </row>
  </sheetData>
  <mergeCells count="1">
    <mergeCell ref="B3:I3"/>
  </mergeCells>
  <pageMargins left="0.31496062992125984" right="0.31496062992125984" top="0.78740157480314965" bottom="0.78740157480314965" header="0.31496062992125984" footer="0.31496062992125984"/>
  <pageSetup paperSize="9" scale="6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"/>
  <sheetViews>
    <sheetView showGridLines="0" zoomScale="85" zoomScaleNormal="85" workbookViewId="0"/>
  </sheetViews>
  <sheetFormatPr defaultColWidth="9.1640625" defaultRowHeight="12.75" x14ac:dyDescent="0.2"/>
  <cols>
    <col min="1" max="1" width="3.33203125" style="1" customWidth="1"/>
    <col min="2" max="2" width="98" style="1" customWidth="1"/>
    <col min="3" max="9" width="21.83203125" style="1" customWidth="1"/>
    <col min="10" max="10" width="19.1640625" style="1" customWidth="1"/>
    <col min="11" max="11" width="20.83203125" style="1" customWidth="1"/>
    <col min="12" max="12" width="29.1640625" style="1" customWidth="1"/>
    <col min="13" max="16384" width="9.1640625" style="1"/>
  </cols>
  <sheetData>
    <row r="1" spans="2:11" ht="15.75" x14ac:dyDescent="0.25">
      <c r="I1" s="24" t="s">
        <v>186</v>
      </c>
    </row>
    <row r="3" spans="2:11" ht="18.75" x14ac:dyDescent="0.3">
      <c r="B3" s="511" t="s">
        <v>329</v>
      </c>
      <c r="C3" s="511"/>
      <c r="D3" s="511"/>
      <c r="E3" s="511"/>
      <c r="F3" s="511"/>
      <c r="G3" s="511"/>
      <c r="H3" s="511"/>
      <c r="I3" s="511"/>
      <c r="J3" s="4"/>
      <c r="K3" s="4"/>
    </row>
    <row r="4" spans="2:11" ht="15" x14ac:dyDescent="0.25">
      <c r="B4" s="25"/>
      <c r="I4" s="26" t="s">
        <v>2</v>
      </c>
    </row>
    <row r="5" spans="2:11" ht="65.25" customHeight="1" x14ac:dyDescent="0.2">
      <c r="B5" s="27" t="s">
        <v>310</v>
      </c>
      <c r="C5" s="28" t="s">
        <v>309</v>
      </c>
      <c r="D5" s="29" t="s">
        <v>187</v>
      </c>
      <c r="E5" s="30" t="s">
        <v>188</v>
      </c>
      <c r="F5" s="30" t="s">
        <v>189</v>
      </c>
      <c r="G5" s="30" t="s">
        <v>190</v>
      </c>
      <c r="H5" s="30" t="s">
        <v>191</v>
      </c>
      <c r="I5" s="31" t="s">
        <v>192</v>
      </c>
    </row>
    <row r="6" spans="2:11" ht="27.95" customHeight="1" x14ac:dyDescent="0.2">
      <c r="B6" s="32" t="s">
        <v>193</v>
      </c>
      <c r="C6" s="33">
        <f>SUM(D6:I6)</f>
        <v>140227739000</v>
      </c>
      <c r="D6" s="34">
        <f>D7+D9+D12</f>
        <v>88525000000</v>
      </c>
      <c r="E6" s="35">
        <f t="shared" ref="E6:I6" si="0">E7+E9+E12</f>
        <v>6141739000</v>
      </c>
      <c r="F6" s="35">
        <f t="shared" si="0"/>
        <v>1062400000</v>
      </c>
      <c r="G6" s="35">
        <f t="shared" si="0"/>
        <v>76000000</v>
      </c>
      <c r="H6" s="35">
        <f t="shared" si="0"/>
        <v>1804000000</v>
      </c>
      <c r="I6" s="36">
        <f t="shared" si="0"/>
        <v>42618600000</v>
      </c>
    </row>
    <row r="7" spans="2:11" ht="27.95" customHeight="1" x14ac:dyDescent="0.2">
      <c r="B7" s="37" t="s">
        <v>267</v>
      </c>
      <c r="C7" s="38">
        <f t="shared" ref="C7:C20" si="1">SUM(D7:I7)</f>
        <v>34101000000</v>
      </c>
      <c r="D7" s="39">
        <v>31500000000</v>
      </c>
      <c r="E7" s="40">
        <v>0</v>
      </c>
      <c r="F7" s="40">
        <v>200000000</v>
      </c>
      <c r="G7" s="40">
        <v>0</v>
      </c>
      <c r="H7" s="40">
        <v>0</v>
      </c>
      <c r="I7" s="41">
        <v>2401000000</v>
      </c>
      <c r="J7" s="3"/>
      <c r="K7" s="2"/>
    </row>
    <row r="8" spans="2:11" ht="27.95" customHeight="1" x14ac:dyDescent="0.2">
      <c r="B8" s="42" t="s">
        <v>268</v>
      </c>
      <c r="C8" s="38">
        <f t="shared" si="1"/>
        <v>15600000000</v>
      </c>
      <c r="D8" s="39">
        <v>15600000000</v>
      </c>
      <c r="E8" s="40">
        <v>0</v>
      </c>
      <c r="F8" s="40">
        <v>0</v>
      </c>
      <c r="G8" s="40">
        <v>0</v>
      </c>
      <c r="H8" s="40">
        <v>0</v>
      </c>
      <c r="I8" s="41">
        <v>0</v>
      </c>
      <c r="J8" s="3"/>
      <c r="K8" s="2"/>
    </row>
    <row r="9" spans="2:11" ht="27.95" customHeight="1" x14ac:dyDescent="0.2">
      <c r="B9" s="37" t="s">
        <v>194</v>
      </c>
      <c r="C9" s="38">
        <f t="shared" si="1"/>
        <v>1307900000</v>
      </c>
      <c r="D9" s="39">
        <f>D10+D11</f>
        <v>0</v>
      </c>
      <c r="E9" s="40">
        <f t="shared" ref="E9:I9" si="2">E10+E11</f>
        <v>226800000</v>
      </c>
      <c r="F9" s="40">
        <f t="shared" si="2"/>
        <v>70000000</v>
      </c>
      <c r="G9" s="40">
        <f t="shared" si="2"/>
        <v>38500000</v>
      </c>
      <c r="H9" s="40">
        <f t="shared" si="2"/>
        <v>755000000</v>
      </c>
      <c r="I9" s="41">
        <f t="shared" si="2"/>
        <v>217600000</v>
      </c>
      <c r="J9" s="3"/>
    </row>
    <row r="10" spans="2:11" ht="27.95" customHeight="1" x14ac:dyDescent="0.2">
      <c r="B10" s="42" t="s">
        <v>269</v>
      </c>
      <c r="C10" s="38">
        <f t="shared" si="1"/>
        <v>1099800000</v>
      </c>
      <c r="D10" s="39">
        <v>0</v>
      </c>
      <c r="E10" s="40">
        <v>226800000</v>
      </c>
      <c r="F10" s="40">
        <v>0</v>
      </c>
      <c r="G10" s="40">
        <v>0</v>
      </c>
      <c r="H10" s="40">
        <v>660000000</v>
      </c>
      <c r="I10" s="41">
        <v>213000000</v>
      </c>
      <c r="J10" s="3"/>
    </row>
    <row r="11" spans="2:11" ht="27.95" customHeight="1" x14ac:dyDescent="0.2">
      <c r="B11" s="42" t="s">
        <v>270</v>
      </c>
      <c r="C11" s="38">
        <f t="shared" si="1"/>
        <v>208100000</v>
      </c>
      <c r="D11" s="39">
        <v>0</v>
      </c>
      <c r="E11" s="40">
        <v>0</v>
      </c>
      <c r="F11" s="40">
        <v>70000000</v>
      </c>
      <c r="G11" s="40">
        <v>38500000</v>
      </c>
      <c r="H11" s="40">
        <v>95000000</v>
      </c>
      <c r="I11" s="41">
        <v>4600000</v>
      </c>
      <c r="J11" s="3"/>
    </row>
    <row r="12" spans="2:11" ht="27.95" customHeight="1" x14ac:dyDescent="0.2">
      <c r="B12" s="37" t="s">
        <v>195</v>
      </c>
      <c r="C12" s="38">
        <f t="shared" si="1"/>
        <v>104818839000</v>
      </c>
      <c r="D12" s="43">
        <f>D13+D14+D15+D16+D17</f>
        <v>57025000000</v>
      </c>
      <c r="E12" s="44">
        <f t="shared" ref="E12:I12" si="3">E13+E14+E15+E16+E17</f>
        <v>5914939000</v>
      </c>
      <c r="F12" s="44">
        <f t="shared" si="3"/>
        <v>792400000</v>
      </c>
      <c r="G12" s="44">
        <f t="shared" si="3"/>
        <v>37500000</v>
      </c>
      <c r="H12" s="44">
        <f t="shared" si="3"/>
        <v>1049000000</v>
      </c>
      <c r="I12" s="45">
        <f t="shared" si="3"/>
        <v>40000000000</v>
      </c>
    </row>
    <row r="13" spans="2:11" ht="27.95" customHeight="1" x14ac:dyDescent="0.2">
      <c r="B13" s="42" t="s">
        <v>392</v>
      </c>
      <c r="C13" s="38">
        <f t="shared" si="1"/>
        <v>64693839000</v>
      </c>
      <c r="D13" s="39">
        <f>65525000000-1200000000-1300000000-6000000000</f>
        <v>57025000000</v>
      </c>
      <c r="E13" s="40">
        <f>18474939000-1650000000-11000000000</f>
        <v>5824939000</v>
      </c>
      <c r="F13" s="40">
        <f>1599400000-7000000-200000000-600000000</f>
        <v>792400000</v>
      </c>
      <c r="G13" s="40">
        <v>2500000</v>
      </c>
      <c r="H13" s="40">
        <v>1049000000</v>
      </c>
      <c r="I13" s="41">
        <v>0</v>
      </c>
    </row>
    <row r="14" spans="2:11" ht="27.95" customHeight="1" x14ac:dyDescent="0.2">
      <c r="B14" s="46" t="s">
        <v>271</v>
      </c>
      <c r="C14" s="38">
        <f t="shared" si="1"/>
        <v>0</v>
      </c>
      <c r="D14" s="39">
        <v>0</v>
      </c>
      <c r="E14" s="40">
        <v>0</v>
      </c>
      <c r="F14" s="40">
        <v>0</v>
      </c>
      <c r="G14" s="40">
        <v>0</v>
      </c>
      <c r="H14" s="40">
        <v>0</v>
      </c>
      <c r="I14" s="41">
        <v>0</v>
      </c>
    </row>
    <row r="15" spans="2:11" ht="27.95" customHeight="1" x14ac:dyDescent="0.2">
      <c r="B15" s="46" t="s">
        <v>272</v>
      </c>
      <c r="C15" s="38">
        <f t="shared" si="1"/>
        <v>0</v>
      </c>
      <c r="D15" s="39">
        <v>0</v>
      </c>
      <c r="E15" s="40">
        <v>0</v>
      </c>
      <c r="F15" s="40">
        <v>0</v>
      </c>
      <c r="G15" s="40">
        <v>0</v>
      </c>
      <c r="H15" s="40">
        <v>0</v>
      </c>
      <c r="I15" s="41">
        <v>0</v>
      </c>
    </row>
    <row r="16" spans="2:11" ht="27.95" customHeight="1" x14ac:dyDescent="0.2">
      <c r="B16" s="46" t="s">
        <v>273</v>
      </c>
      <c r="C16" s="38">
        <f t="shared" si="1"/>
        <v>40000000000</v>
      </c>
      <c r="D16" s="39">
        <v>0</v>
      </c>
      <c r="E16" s="40">
        <v>0</v>
      </c>
      <c r="F16" s="40">
        <v>0</v>
      </c>
      <c r="G16" s="40">
        <v>0</v>
      </c>
      <c r="H16" s="40">
        <v>0</v>
      </c>
      <c r="I16" s="41">
        <v>40000000000</v>
      </c>
      <c r="J16" s="2"/>
    </row>
    <row r="17" spans="2:10" ht="27.95" customHeight="1" x14ac:dyDescent="0.2">
      <c r="B17" s="47" t="s">
        <v>274</v>
      </c>
      <c r="C17" s="48">
        <f t="shared" si="1"/>
        <v>125000000</v>
      </c>
      <c r="D17" s="49">
        <v>0</v>
      </c>
      <c r="E17" s="50">
        <v>90000000</v>
      </c>
      <c r="F17" s="50"/>
      <c r="G17" s="50">
        <v>35000000</v>
      </c>
      <c r="H17" s="50">
        <v>0</v>
      </c>
      <c r="I17" s="51">
        <v>0</v>
      </c>
      <c r="J17" s="2"/>
    </row>
    <row r="18" spans="2:10" ht="27.95" customHeight="1" x14ac:dyDescent="0.2">
      <c r="B18" s="52" t="s">
        <v>196</v>
      </c>
      <c r="C18" s="33">
        <f t="shared" si="1"/>
        <v>140391319000</v>
      </c>
      <c r="D18" s="34">
        <f>94525000000-6000000000</f>
        <v>88525000000</v>
      </c>
      <c r="E18" s="35">
        <f>18791739000-1650000000-11000000000</f>
        <v>6141739000</v>
      </c>
      <c r="F18" s="35">
        <f>1869400000-7000000-200000000-600000000</f>
        <v>1062400000</v>
      </c>
      <c r="G18" s="35">
        <v>75580000</v>
      </c>
      <c r="H18" s="35">
        <v>1968000000</v>
      </c>
      <c r="I18" s="36">
        <f>39380400000-1835800000+5074000000</f>
        <v>42618600000</v>
      </c>
    </row>
    <row r="19" spans="2:10" ht="27.95" customHeight="1" thickBot="1" x14ac:dyDescent="0.25">
      <c r="B19" s="53" t="s">
        <v>275</v>
      </c>
      <c r="C19" s="54">
        <f t="shared" si="1"/>
        <v>1561000000</v>
      </c>
      <c r="D19" s="55">
        <v>0</v>
      </c>
      <c r="E19" s="56">
        <v>0</v>
      </c>
      <c r="F19" s="56">
        <v>0</v>
      </c>
      <c r="G19" s="56">
        <v>0</v>
      </c>
      <c r="H19" s="56">
        <v>1258000000</v>
      </c>
      <c r="I19" s="57">
        <v>303000000</v>
      </c>
    </row>
    <row r="20" spans="2:10" ht="27.95" customHeight="1" thickTop="1" x14ac:dyDescent="0.2">
      <c r="B20" s="58" t="s">
        <v>197</v>
      </c>
      <c r="C20" s="59">
        <f t="shared" si="1"/>
        <v>-163580000</v>
      </c>
      <c r="D20" s="60">
        <f>D6-D18</f>
        <v>0</v>
      </c>
      <c r="E20" s="61">
        <f t="shared" ref="E20:I20" si="4">E6-E18</f>
        <v>0</v>
      </c>
      <c r="F20" s="61">
        <f t="shared" si="4"/>
        <v>0</v>
      </c>
      <c r="G20" s="61">
        <f t="shared" si="4"/>
        <v>420000</v>
      </c>
      <c r="H20" s="61">
        <f t="shared" si="4"/>
        <v>-164000000</v>
      </c>
      <c r="I20" s="62">
        <f t="shared" si="4"/>
        <v>0</v>
      </c>
    </row>
    <row r="21" spans="2:10" x14ac:dyDescent="0.2">
      <c r="D21" s="2"/>
      <c r="E21" s="2"/>
      <c r="F21" s="2"/>
      <c r="G21" s="2"/>
      <c r="H21" s="2"/>
      <c r="I21" s="2"/>
    </row>
  </sheetData>
  <mergeCells count="1">
    <mergeCell ref="B3:I3"/>
  </mergeCells>
  <pageMargins left="0.31496062992125984" right="0.31496062992125984" top="0.78740157480314965" bottom="0.78740157480314965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zoomScale="85" zoomScaleNormal="85" workbookViewId="0">
      <pane xSplit="3" ySplit="7" topLeftCell="D8" activePane="bottomRight" state="frozen"/>
      <selection activeCell="I57" sqref="I57:K58"/>
      <selection pane="topRight" activeCell="I57" sqref="I57:K58"/>
      <selection pane="bottomLeft" activeCell="I57" sqref="I57:K58"/>
      <selection pane="bottomRight"/>
    </sheetView>
  </sheetViews>
  <sheetFormatPr defaultColWidth="8.1640625" defaultRowHeight="12.75" x14ac:dyDescent="0.2"/>
  <cols>
    <col min="1" max="1" width="3.33203125" style="66" customWidth="1"/>
    <col min="2" max="2" width="10.5" style="66" bestFit="1" customWidth="1"/>
    <col min="3" max="3" width="42.6640625" style="66" customWidth="1"/>
    <col min="4" max="6" width="18.6640625" style="66" customWidth="1"/>
    <col min="7" max="9" width="18.6640625" style="227" customWidth="1"/>
    <col min="10" max="10" width="11.6640625" style="227" customWidth="1"/>
    <col min="11" max="12" width="18.33203125" style="227" customWidth="1"/>
    <col min="13" max="13" width="4.33203125" style="66" customWidth="1"/>
    <col min="14" max="16384" width="8.1640625" style="66"/>
  </cols>
  <sheetData>
    <row r="1" spans="2:12" x14ac:dyDescent="0.2">
      <c r="I1" s="227" t="s">
        <v>0</v>
      </c>
    </row>
    <row r="3" spans="2:12" ht="15" x14ac:dyDescent="0.25">
      <c r="C3" s="229" t="s">
        <v>338</v>
      </c>
    </row>
    <row r="4" spans="2:12" x14ac:dyDescent="0.2">
      <c r="C4" s="237" t="s">
        <v>1</v>
      </c>
    </row>
    <row r="5" spans="2:12" x14ac:dyDescent="0.2">
      <c r="C5" s="249"/>
      <c r="D5" s="119"/>
      <c r="E5" s="119"/>
      <c r="F5" s="119"/>
      <c r="G5" s="250"/>
      <c r="H5" s="250"/>
      <c r="I5" s="259"/>
    </row>
    <row r="6" spans="2:12" ht="13.5" thickBot="1" x14ac:dyDescent="0.25">
      <c r="H6" s="231"/>
      <c r="I6" s="231" t="s">
        <v>55</v>
      </c>
    </row>
    <row r="7" spans="2:12" ht="41.25" customHeight="1" thickBot="1" x14ac:dyDescent="0.25">
      <c r="B7" s="120" t="s">
        <v>3</v>
      </c>
      <c r="C7" s="238" t="s">
        <v>4</v>
      </c>
      <c r="D7" s="122" t="s">
        <v>5</v>
      </c>
      <c r="E7" s="123" t="s">
        <v>259</v>
      </c>
      <c r="F7" s="123" t="s">
        <v>260</v>
      </c>
      <c r="G7" s="206" t="s">
        <v>330</v>
      </c>
      <c r="H7" s="81">
        <v>2023</v>
      </c>
      <c r="I7" s="81">
        <v>2024</v>
      </c>
      <c r="J7" s="206" t="s">
        <v>114</v>
      </c>
      <c r="K7" s="206" t="s">
        <v>261</v>
      </c>
      <c r="L7" s="261" t="s">
        <v>331</v>
      </c>
    </row>
    <row r="8" spans="2:12" x14ac:dyDescent="0.2">
      <c r="B8" s="124">
        <v>301</v>
      </c>
      <c r="C8" s="125" t="s">
        <v>6</v>
      </c>
      <c r="D8" s="126">
        <v>312624.83</v>
      </c>
      <c r="E8" s="126">
        <v>5165278.6500000004</v>
      </c>
      <c r="F8" s="126">
        <v>163501.78999999998</v>
      </c>
      <c r="G8" s="126">
        <v>1060705.45</v>
      </c>
      <c r="H8" s="126">
        <v>60000</v>
      </c>
      <c r="I8" s="399">
        <v>60000</v>
      </c>
      <c r="J8" s="291">
        <f>+I8/H8*100</f>
        <v>100</v>
      </c>
      <c r="K8" s="407">
        <f>+I8-H8</f>
        <v>0</v>
      </c>
      <c r="L8" s="400">
        <f t="shared" ref="L8:L13" si="0">+I8-G8</f>
        <v>-1000705.45</v>
      </c>
    </row>
    <row r="9" spans="2:12" x14ac:dyDescent="0.2">
      <c r="B9" s="127">
        <v>302</v>
      </c>
      <c r="C9" s="128" t="s">
        <v>7</v>
      </c>
      <c r="D9" s="126">
        <v>19151151.760000002</v>
      </c>
      <c r="E9" s="126">
        <v>15626977.91</v>
      </c>
      <c r="F9" s="126">
        <v>14496993.529999999</v>
      </c>
      <c r="G9" s="126">
        <v>19802455.32</v>
      </c>
      <c r="H9" s="126">
        <v>15000000</v>
      </c>
      <c r="I9" s="399">
        <v>17000000</v>
      </c>
      <c r="J9" s="291">
        <f t="shared" ref="J9:J58" si="1">+I9/H9*100</f>
        <v>113.33333333333333</v>
      </c>
      <c r="K9" s="407">
        <f t="shared" ref="K9:K58" si="2">+I9-H9</f>
        <v>2000000</v>
      </c>
      <c r="L9" s="400">
        <f t="shared" si="0"/>
        <v>-2802455.3200000003</v>
      </c>
    </row>
    <row r="10" spans="2:12" x14ac:dyDescent="0.2">
      <c r="B10" s="127">
        <v>303</v>
      </c>
      <c r="C10" s="128" t="s">
        <v>8</v>
      </c>
      <c r="D10" s="126">
        <v>4129703.12</v>
      </c>
      <c r="E10" s="126">
        <v>3393948.06</v>
      </c>
      <c r="F10" s="126">
        <v>3600761.3600000003</v>
      </c>
      <c r="G10" s="126">
        <v>4477388.9800000004</v>
      </c>
      <c r="H10" s="126">
        <v>2900000</v>
      </c>
      <c r="I10" s="399">
        <v>2900000</v>
      </c>
      <c r="J10" s="291">
        <f t="shared" si="1"/>
        <v>100</v>
      </c>
      <c r="K10" s="407">
        <f t="shared" si="2"/>
        <v>0</v>
      </c>
      <c r="L10" s="400">
        <f t="shared" si="0"/>
        <v>-1577388.9800000004</v>
      </c>
    </row>
    <row r="11" spans="2:12" x14ac:dyDescent="0.2">
      <c r="B11" s="127">
        <v>304</v>
      </c>
      <c r="C11" s="128" t="s">
        <v>9</v>
      </c>
      <c r="D11" s="126">
        <v>83864568.219999999</v>
      </c>
      <c r="E11" s="126">
        <v>58584157.109999999</v>
      </c>
      <c r="F11" s="126">
        <v>25377497.519999996</v>
      </c>
      <c r="G11" s="126">
        <v>49381058.890000001</v>
      </c>
      <c r="H11" s="126">
        <v>18397080</v>
      </c>
      <c r="I11" s="399">
        <v>19312963</v>
      </c>
      <c r="J11" s="291">
        <f t="shared" si="1"/>
        <v>104.97841505282359</v>
      </c>
      <c r="K11" s="407">
        <f t="shared" si="2"/>
        <v>915883</v>
      </c>
      <c r="L11" s="400">
        <f t="shared" si="0"/>
        <v>-30068095.890000001</v>
      </c>
    </row>
    <row r="12" spans="2:12" x14ac:dyDescent="0.2">
      <c r="B12" s="127">
        <v>305</v>
      </c>
      <c r="C12" s="128" t="s">
        <v>10</v>
      </c>
      <c r="D12" s="126">
        <v>247773299.40000001</v>
      </c>
      <c r="E12" s="126">
        <v>254573349.83000001</v>
      </c>
      <c r="F12" s="126">
        <v>255266146.61000001</v>
      </c>
      <c r="G12" s="126">
        <v>263086882.88999999</v>
      </c>
      <c r="H12" s="126">
        <v>250000000</v>
      </c>
      <c r="I12" s="399">
        <v>260000000</v>
      </c>
      <c r="J12" s="291">
        <f t="shared" si="1"/>
        <v>104</v>
      </c>
      <c r="K12" s="407">
        <f t="shared" si="2"/>
        <v>10000000</v>
      </c>
      <c r="L12" s="400">
        <f t="shared" si="0"/>
        <v>-3086882.8899999857</v>
      </c>
    </row>
    <row r="13" spans="2:12" x14ac:dyDescent="0.2">
      <c r="B13" s="127">
        <v>306</v>
      </c>
      <c r="C13" s="128" t="s">
        <v>11</v>
      </c>
      <c r="D13" s="126">
        <v>1080181354.03</v>
      </c>
      <c r="E13" s="126">
        <v>640865481.97000003</v>
      </c>
      <c r="F13" s="126">
        <v>564917687.32999992</v>
      </c>
      <c r="G13" s="126">
        <v>528475986.68000007</v>
      </c>
      <c r="H13" s="126">
        <v>964935000</v>
      </c>
      <c r="I13" s="399">
        <v>1292970693</v>
      </c>
      <c r="J13" s="291">
        <f t="shared" si="1"/>
        <v>133.99562592298963</v>
      </c>
      <c r="K13" s="407">
        <f t="shared" si="2"/>
        <v>328035693</v>
      </c>
      <c r="L13" s="400">
        <f t="shared" si="0"/>
        <v>764494706.31999993</v>
      </c>
    </row>
    <row r="14" spans="2:12" x14ac:dyDescent="0.2">
      <c r="B14" s="127">
        <v>307</v>
      </c>
      <c r="C14" s="128" t="s">
        <v>12</v>
      </c>
      <c r="D14" s="126">
        <v>5629400438.9099998</v>
      </c>
      <c r="E14" s="126">
        <v>5677084840.1999998</v>
      </c>
      <c r="F14" s="126">
        <v>5766442614.3899994</v>
      </c>
      <c r="G14" s="126">
        <v>5988031330.8300009</v>
      </c>
      <c r="H14" s="126">
        <v>6264142766</v>
      </c>
      <c r="I14" s="399">
        <v>6859299898</v>
      </c>
      <c r="J14" s="291">
        <f t="shared" si="1"/>
        <v>109.50101481132175</v>
      </c>
      <c r="K14" s="407">
        <f t="shared" si="2"/>
        <v>595157132</v>
      </c>
      <c r="L14" s="400">
        <f>+I14-G14</f>
        <v>871268567.16999912</v>
      </c>
    </row>
    <row r="15" spans="2:12" x14ac:dyDescent="0.2">
      <c r="B15" s="127">
        <v>308</v>
      </c>
      <c r="C15" s="128" t="s">
        <v>13</v>
      </c>
      <c r="D15" s="126">
        <v>1091889.8899999999</v>
      </c>
      <c r="E15" s="126">
        <v>799019.82</v>
      </c>
      <c r="F15" s="126">
        <v>831267.08000000007</v>
      </c>
      <c r="G15" s="126">
        <v>886724.41999999993</v>
      </c>
      <c r="H15" s="126">
        <v>850000</v>
      </c>
      <c r="I15" s="399">
        <v>850000</v>
      </c>
      <c r="J15" s="291">
        <f t="shared" si="1"/>
        <v>100</v>
      </c>
      <c r="K15" s="407">
        <f t="shared" si="2"/>
        <v>0</v>
      </c>
      <c r="L15" s="400">
        <f t="shared" ref="L15:L58" si="3">+I15-G15</f>
        <v>-36724.419999999925</v>
      </c>
    </row>
    <row r="16" spans="2:12" x14ac:dyDescent="0.2">
      <c r="B16" s="127">
        <v>309</v>
      </c>
      <c r="C16" s="128" t="s">
        <v>14</v>
      </c>
      <c r="D16" s="126">
        <v>8053874.6500000004</v>
      </c>
      <c r="E16" s="126">
        <v>4558197.51</v>
      </c>
      <c r="F16" s="126">
        <v>21251205.300000001</v>
      </c>
      <c r="G16" s="126">
        <v>6624589.04</v>
      </c>
      <c r="H16" s="126">
        <v>7244140</v>
      </c>
      <c r="I16" s="399">
        <v>250000</v>
      </c>
      <c r="J16" s="291">
        <f t="shared" si="1"/>
        <v>3.451065274829034</v>
      </c>
      <c r="K16" s="407">
        <f t="shared" si="2"/>
        <v>-6994140</v>
      </c>
      <c r="L16" s="400">
        <f t="shared" si="3"/>
        <v>-6374589.04</v>
      </c>
    </row>
    <row r="17" spans="2:12" x14ac:dyDescent="0.2">
      <c r="B17" s="127">
        <v>312</v>
      </c>
      <c r="C17" s="128" t="s">
        <v>15</v>
      </c>
      <c r="D17" s="126">
        <v>6812300410.8199997</v>
      </c>
      <c r="E17" s="126">
        <v>5696961255.1499996</v>
      </c>
      <c r="F17" s="126">
        <v>7224205797.8200016</v>
      </c>
      <c r="G17" s="126">
        <v>7742777066.96</v>
      </c>
      <c r="H17" s="126">
        <v>6201067586</v>
      </c>
      <c r="I17" s="399">
        <v>7634478480</v>
      </c>
      <c r="J17" s="291">
        <f t="shared" si="1"/>
        <v>123.1155502519627</v>
      </c>
      <c r="K17" s="407">
        <f t="shared" si="2"/>
        <v>1433410894</v>
      </c>
      <c r="L17" s="400">
        <f t="shared" si="3"/>
        <v>-108298586.96000004</v>
      </c>
    </row>
    <row r="18" spans="2:12" x14ac:dyDescent="0.2">
      <c r="B18" s="127">
        <v>313</v>
      </c>
      <c r="C18" s="128" t="s">
        <v>16</v>
      </c>
      <c r="D18" s="126">
        <v>547050814833.78998</v>
      </c>
      <c r="E18" s="126">
        <v>533172837552.70001</v>
      </c>
      <c r="F18" s="126">
        <v>592749758588.6698</v>
      </c>
      <c r="G18" s="126">
        <v>633445345556.56982</v>
      </c>
      <c r="H18" s="126">
        <v>678345880380</v>
      </c>
      <c r="I18" s="399">
        <v>725598614439</v>
      </c>
      <c r="J18" s="291">
        <f t="shared" si="1"/>
        <v>106.9658761740441</v>
      </c>
      <c r="K18" s="407">
        <f t="shared" si="2"/>
        <v>47252734059</v>
      </c>
      <c r="L18" s="400">
        <f t="shared" si="3"/>
        <v>92153268882.430176</v>
      </c>
    </row>
    <row r="19" spans="2:12" x14ac:dyDescent="0.2">
      <c r="B19" s="127">
        <v>314</v>
      </c>
      <c r="C19" s="128" t="s">
        <v>17</v>
      </c>
      <c r="D19" s="126">
        <v>11279672258.65</v>
      </c>
      <c r="E19" s="126">
        <v>12623305778.379999</v>
      </c>
      <c r="F19" s="126">
        <v>12932168138.310003</v>
      </c>
      <c r="G19" s="126">
        <v>13592189520.470009</v>
      </c>
      <c r="H19" s="126">
        <v>13467447912</v>
      </c>
      <c r="I19" s="399">
        <v>11571483434</v>
      </c>
      <c r="J19" s="291">
        <f t="shared" si="1"/>
        <v>85.92187257460543</v>
      </c>
      <c r="K19" s="407">
        <f t="shared" si="2"/>
        <v>-1895964478</v>
      </c>
      <c r="L19" s="400">
        <f t="shared" si="3"/>
        <v>-2020706086.4700089</v>
      </c>
    </row>
    <row r="20" spans="2:12" x14ac:dyDescent="0.2">
      <c r="B20" s="127">
        <v>315</v>
      </c>
      <c r="C20" s="128" t="s">
        <v>18</v>
      </c>
      <c r="D20" s="126">
        <v>26682060444.049999</v>
      </c>
      <c r="E20" s="126">
        <v>28486544624.060001</v>
      </c>
      <c r="F20" s="126">
        <v>26778876093.310001</v>
      </c>
      <c r="G20" s="126">
        <v>24480837124.469994</v>
      </c>
      <c r="H20" s="126">
        <v>94315429752</v>
      </c>
      <c r="I20" s="399">
        <v>44175543006</v>
      </c>
      <c r="J20" s="291">
        <f t="shared" si="1"/>
        <v>46.838086962184718</v>
      </c>
      <c r="K20" s="407">
        <f t="shared" si="2"/>
        <v>-50139886746</v>
      </c>
      <c r="L20" s="400">
        <f t="shared" si="3"/>
        <v>19694705881.530006</v>
      </c>
    </row>
    <row r="21" spans="2:12" x14ac:dyDescent="0.2">
      <c r="B21" s="127">
        <v>317</v>
      </c>
      <c r="C21" s="128" t="s">
        <v>19</v>
      </c>
      <c r="D21" s="126">
        <v>22724607205.299999</v>
      </c>
      <c r="E21" s="126">
        <v>23390198517.82</v>
      </c>
      <c r="F21" s="126">
        <v>22042738206.889999</v>
      </c>
      <c r="G21" s="126">
        <v>19624157827.669994</v>
      </c>
      <c r="H21" s="126">
        <v>16637756994</v>
      </c>
      <c r="I21" s="399">
        <v>5690727521</v>
      </c>
      <c r="J21" s="291">
        <f t="shared" si="1"/>
        <v>34.20369418216783</v>
      </c>
      <c r="K21" s="407">
        <f t="shared" si="2"/>
        <v>-10947029473</v>
      </c>
      <c r="L21" s="400">
        <f t="shared" si="3"/>
        <v>-13933430306.669994</v>
      </c>
    </row>
    <row r="22" spans="2:12" x14ac:dyDescent="0.2">
      <c r="B22" s="127">
        <v>321</v>
      </c>
      <c r="C22" s="128" t="s">
        <v>20</v>
      </c>
      <c r="D22" s="126">
        <v>7005536.4100000001</v>
      </c>
      <c r="E22" s="126">
        <v>5422873.1799999997</v>
      </c>
      <c r="F22" s="126">
        <v>9856024.3399999999</v>
      </c>
      <c r="G22" s="126">
        <v>3841335.17</v>
      </c>
      <c r="H22" s="126">
        <v>0</v>
      </c>
      <c r="I22" s="399">
        <v>0</v>
      </c>
      <c r="J22" s="291"/>
      <c r="K22" s="407">
        <f t="shared" si="2"/>
        <v>0</v>
      </c>
      <c r="L22" s="400">
        <f t="shared" si="3"/>
        <v>-3841335.17</v>
      </c>
    </row>
    <row r="23" spans="2:12" x14ac:dyDescent="0.2">
      <c r="B23" s="127">
        <v>322</v>
      </c>
      <c r="C23" s="128" t="s">
        <v>21</v>
      </c>
      <c r="D23" s="126">
        <v>20553597117.740002</v>
      </c>
      <c r="E23" s="126">
        <v>25783422417.900002</v>
      </c>
      <c r="F23" s="126">
        <v>17738957399.700001</v>
      </c>
      <c r="G23" s="126">
        <v>17553732062.770004</v>
      </c>
      <c r="H23" s="126">
        <v>23862861001</v>
      </c>
      <c r="I23" s="399">
        <v>31927372937</v>
      </c>
      <c r="J23" s="291">
        <f t="shared" si="1"/>
        <v>133.79524330993692</v>
      </c>
      <c r="K23" s="407">
        <f t="shared" si="2"/>
        <v>8064511936</v>
      </c>
      <c r="L23" s="400">
        <f t="shared" si="3"/>
        <v>14373640874.229996</v>
      </c>
    </row>
    <row r="24" spans="2:12" x14ac:dyDescent="0.2">
      <c r="B24" s="127">
        <v>327</v>
      </c>
      <c r="C24" s="128" t="s">
        <v>22</v>
      </c>
      <c r="D24" s="126">
        <v>17449764070.349998</v>
      </c>
      <c r="E24" s="126">
        <v>25910016613.23</v>
      </c>
      <c r="F24" s="126">
        <v>19824645226.169998</v>
      </c>
      <c r="G24" s="126">
        <v>21139498152.920006</v>
      </c>
      <c r="H24" s="126">
        <v>29053763172</v>
      </c>
      <c r="I24" s="399">
        <v>28705979537</v>
      </c>
      <c r="J24" s="291">
        <f t="shared" si="1"/>
        <v>98.802965271861339</v>
      </c>
      <c r="K24" s="407">
        <f t="shared" si="2"/>
        <v>-347783635</v>
      </c>
      <c r="L24" s="400">
        <f t="shared" si="3"/>
        <v>7566481384.0799942</v>
      </c>
    </row>
    <row r="25" spans="2:12" x14ac:dyDescent="0.2">
      <c r="B25" s="127">
        <v>328</v>
      </c>
      <c r="C25" s="128" t="s">
        <v>23</v>
      </c>
      <c r="D25" s="126">
        <v>856328896.17999995</v>
      </c>
      <c r="E25" s="126">
        <v>862801049.66999996</v>
      </c>
      <c r="F25" s="126">
        <v>6696772491.1899996</v>
      </c>
      <c r="G25" s="126">
        <v>2913568831.5899997</v>
      </c>
      <c r="H25" s="126">
        <v>1065230000</v>
      </c>
      <c r="I25" s="399">
        <v>3065230000</v>
      </c>
      <c r="J25" s="291">
        <f t="shared" si="1"/>
        <v>287.75287965979174</v>
      </c>
      <c r="K25" s="407">
        <f t="shared" si="2"/>
        <v>2000000000</v>
      </c>
      <c r="L25" s="400">
        <f t="shared" si="3"/>
        <v>151661168.41000032</v>
      </c>
    </row>
    <row r="26" spans="2:12" x14ac:dyDescent="0.2">
      <c r="B26" s="127">
        <v>329</v>
      </c>
      <c r="C26" s="128" t="s">
        <v>24</v>
      </c>
      <c r="D26" s="126">
        <v>35961688325.410011</v>
      </c>
      <c r="E26" s="126">
        <v>36660824403.970001</v>
      </c>
      <c r="F26" s="126">
        <v>34615614092.850014</v>
      </c>
      <c r="G26" s="126">
        <v>36909748763.850006</v>
      </c>
      <c r="H26" s="126">
        <v>38327401079</v>
      </c>
      <c r="I26" s="399">
        <v>38494707803</v>
      </c>
      <c r="J26" s="291">
        <f t="shared" si="1"/>
        <v>100.43651987687647</v>
      </c>
      <c r="K26" s="407">
        <f t="shared" si="2"/>
        <v>167306724</v>
      </c>
      <c r="L26" s="400">
        <f t="shared" si="3"/>
        <v>1584959039.1499939</v>
      </c>
    </row>
    <row r="27" spans="2:12" x14ac:dyDescent="0.2">
      <c r="B27" s="127">
        <v>333</v>
      </c>
      <c r="C27" s="128" t="s">
        <v>25</v>
      </c>
      <c r="D27" s="126">
        <v>14807842523.610001</v>
      </c>
      <c r="E27" s="126">
        <v>13488337318.790001</v>
      </c>
      <c r="F27" s="126">
        <v>13473123969.77</v>
      </c>
      <c r="G27" s="126">
        <v>10832138646.899998</v>
      </c>
      <c r="H27" s="126">
        <v>10396877884</v>
      </c>
      <c r="I27" s="399">
        <v>10036838147</v>
      </c>
      <c r="J27" s="291">
        <f t="shared" si="1"/>
        <v>96.537039859301672</v>
      </c>
      <c r="K27" s="407">
        <f t="shared" si="2"/>
        <v>-360039737</v>
      </c>
      <c r="L27" s="400">
        <f t="shared" si="3"/>
        <v>-795300499.89999771</v>
      </c>
    </row>
    <row r="28" spans="2:12" x14ac:dyDescent="0.2">
      <c r="B28" s="127">
        <v>334</v>
      </c>
      <c r="C28" s="128" t="s">
        <v>26</v>
      </c>
      <c r="D28" s="126">
        <v>274618343.29000002</v>
      </c>
      <c r="E28" s="126">
        <v>397965823.94</v>
      </c>
      <c r="F28" s="126">
        <v>494282448.28000003</v>
      </c>
      <c r="G28" s="126">
        <v>714953914.31000006</v>
      </c>
      <c r="H28" s="126">
        <v>2792714994</v>
      </c>
      <c r="I28" s="399">
        <v>540915111</v>
      </c>
      <c r="J28" s="291">
        <f t="shared" si="1"/>
        <v>19.368790304851281</v>
      </c>
      <c r="K28" s="407">
        <f t="shared" si="2"/>
        <v>-2251799883</v>
      </c>
      <c r="L28" s="400">
        <f t="shared" si="3"/>
        <v>-174038803.31000006</v>
      </c>
    </row>
    <row r="29" spans="2:12" x14ac:dyDescent="0.2">
      <c r="B29" s="127">
        <v>335</v>
      </c>
      <c r="C29" s="128" t="s">
        <v>27</v>
      </c>
      <c r="D29" s="126">
        <v>1523722459.79</v>
      </c>
      <c r="E29" s="126">
        <v>2161249558.8099999</v>
      </c>
      <c r="F29" s="126">
        <v>7210413282.9499969</v>
      </c>
      <c r="G29" s="126">
        <v>3640582320.5100002</v>
      </c>
      <c r="H29" s="126">
        <v>5577439677</v>
      </c>
      <c r="I29" s="399">
        <v>3824137130</v>
      </c>
      <c r="J29" s="291">
        <f t="shared" si="1"/>
        <v>68.564383506823177</v>
      </c>
      <c r="K29" s="407">
        <f t="shared" si="2"/>
        <v>-1753302547</v>
      </c>
      <c r="L29" s="400">
        <f t="shared" si="3"/>
        <v>183554809.48999977</v>
      </c>
    </row>
    <row r="30" spans="2:12" x14ac:dyDescent="0.2">
      <c r="B30" s="127">
        <v>336</v>
      </c>
      <c r="C30" s="128" t="s">
        <v>28</v>
      </c>
      <c r="D30" s="126">
        <v>3877318729.1199999</v>
      </c>
      <c r="E30" s="126">
        <v>3710450535.7399998</v>
      </c>
      <c r="F30" s="126">
        <v>4042238148.9199996</v>
      </c>
      <c r="G30" s="126">
        <v>4094595563.1100006</v>
      </c>
      <c r="H30" s="126">
        <v>3910247743</v>
      </c>
      <c r="I30" s="399">
        <v>3954692597</v>
      </c>
      <c r="J30" s="291">
        <f t="shared" si="1"/>
        <v>101.13662501511736</v>
      </c>
      <c r="K30" s="407">
        <f t="shared" si="2"/>
        <v>44444854</v>
      </c>
      <c r="L30" s="400">
        <f t="shared" si="3"/>
        <v>-139902966.11000061</v>
      </c>
    </row>
    <row r="31" spans="2:12" x14ac:dyDescent="0.2">
      <c r="B31" s="127">
        <v>343</v>
      </c>
      <c r="C31" s="128" t="s">
        <v>29</v>
      </c>
      <c r="D31" s="126">
        <v>2398534.7599999998</v>
      </c>
      <c r="E31" s="126">
        <v>7280154.7300000004</v>
      </c>
      <c r="F31" s="126">
        <v>1233090.31</v>
      </c>
      <c r="G31" s="126">
        <v>1388180.4</v>
      </c>
      <c r="H31" s="126">
        <v>1000000</v>
      </c>
      <c r="I31" s="399">
        <v>1000000</v>
      </c>
      <c r="J31" s="291">
        <f t="shared" si="1"/>
        <v>100</v>
      </c>
      <c r="K31" s="407">
        <f t="shared" si="2"/>
        <v>0</v>
      </c>
      <c r="L31" s="400">
        <f t="shared" si="3"/>
        <v>-388180.39999999991</v>
      </c>
    </row>
    <row r="32" spans="2:12" x14ac:dyDescent="0.2">
      <c r="B32" s="127">
        <v>344</v>
      </c>
      <c r="C32" s="128" t="s">
        <v>30</v>
      </c>
      <c r="D32" s="126">
        <v>290393589.17000002</v>
      </c>
      <c r="E32" s="126">
        <v>295256234.20999998</v>
      </c>
      <c r="F32" s="126">
        <v>303642322.03000003</v>
      </c>
      <c r="G32" s="126">
        <v>295406132.64000005</v>
      </c>
      <c r="H32" s="126">
        <v>285890500</v>
      </c>
      <c r="I32" s="399">
        <v>273830000</v>
      </c>
      <c r="J32" s="291">
        <f t="shared" si="1"/>
        <v>95.781426805018015</v>
      </c>
      <c r="K32" s="407">
        <f t="shared" si="2"/>
        <v>-12060500</v>
      </c>
      <c r="L32" s="400">
        <f t="shared" si="3"/>
        <v>-21576132.640000045</v>
      </c>
    </row>
    <row r="33" spans="2:12" x14ac:dyDescent="0.2">
      <c r="B33" s="127">
        <v>345</v>
      </c>
      <c r="C33" s="128" t="s">
        <v>31</v>
      </c>
      <c r="D33" s="126">
        <v>17736383.550000001</v>
      </c>
      <c r="E33" s="126">
        <v>15640726.380000001</v>
      </c>
      <c r="F33" s="126">
        <v>30766981.98</v>
      </c>
      <c r="G33" s="126">
        <v>34305513.910000004</v>
      </c>
      <c r="H33" s="126">
        <v>169623049</v>
      </c>
      <c r="I33" s="399">
        <v>53152703</v>
      </c>
      <c r="J33" s="291">
        <f t="shared" si="1"/>
        <v>31.335778547407202</v>
      </c>
      <c r="K33" s="407">
        <f t="shared" si="2"/>
        <v>-116470346</v>
      </c>
      <c r="L33" s="400">
        <f t="shared" si="3"/>
        <v>18847189.089999996</v>
      </c>
    </row>
    <row r="34" spans="2:12" x14ac:dyDescent="0.2">
      <c r="B34" s="127">
        <v>346</v>
      </c>
      <c r="C34" s="128" t="s">
        <v>32</v>
      </c>
      <c r="D34" s="126">
        <v>880855807.03999996</v>
      </c>
      <c r="E34" s="126">
        <v>1452675894.5899999</v>
      </c>
      <c r="F34" s="126">
        <v>1854298520.5200002</v>
      </c>
      <c r="G34" s="126">
        <v>1490689974.6700001</v>
      </c>
      <c r="H34" s="126">
        <v>1550711521</v>
      </c>
      <c r="I34" s="399">
        <v>1420000000</v>
      </c>
      <c r="J34" s="291">
        <f t="shared" si="1"/>
        <v>91.570868002856614</v>
      </c>
      <c r="K34" s="407">
        <f t="shared" si="2"/>
        <v>-130711521</v>
      </c>
      <c r="L34" s="400">
        <f t="shared" si="3"/>
        <v>-70689974.670000076</v>
      </c>
    </row>
    <row r="35" spans="2:12" x14ac:dyDescent="0.2">
      <c r="B35" s="127">
        <v>348</v>
      </c>
      <c r="C35" s="128" t="s">
        <v>33</v>
      </c>
      <c r="D35" s="126">
        <v>371008701.57999998</v>
      </c>
      <c r="E35" s="126">
        <v>302483297.20999998</v>
      </c>
      <c r="F35" s="126">
        <v>248345303.91999999</v>
      </c>
      <c r="G35" s="126">
        <v>267019992.76999998</v>
      </c>
      <c r="H35" s="126">
        <v>264866000</v>
      </c>
      <c r="I35" s="399">
        <v>262366000</v>
      </c>
      <c r="J35" s="291">
        <f t="shared" si="1"/>
        <v>99.056126494151769</v>
      </c>
      <c r="K35" s="407">
        <f t="shared" si="2"/>
        <v>-2500000</v>
      </c>
      <c r="L35" s="400">
        <f t="shared" si="3"/>
        <v>-4653992.7699999809</v>
      </c>
    </row>
    <row r="36" spans="2:12" x14ac:dyDescent="0.2">
      <c r="B36" s="127">
        <v>349</v>
      </c>
      <c r="C36" s="128" t="s">
        <v>34</v>
      </c>
      <c r="D36" s="126">
        <v>312920988.05000001</v>
      </c>
      <c r="E36" s="126">
        <v>311074319.36000001</v>
      </c>
      <c r="F36" s="126">
        <v>319056593.35000002</v>
      </c>
      <c r="G36" s="126">
        <v>328983318.19999999</v>
      </c>
      <c r="H36" s="126">
        <v>335241600</v>
      </c>
      <c r="I36" s="399">
        <v>535241600</v>
      </c>
      <c r="J36" s="291">
        <f t="shared" si="1"/>
        <v>159.65846720693375</v>
      </c>
      <c r="K36" s="407">
        <f t="shared" si="2"/>
        <v>200000000</v>
      </c>
      <c r="L36" s="400">
        <f t="shared" si="3"/>
        <v>206258281.80000001</v>
      </c>
    </row>
    <row r="37" spans="2:12" x14ac:dyDescent="0.2">
      <c r="B37" s="127">
        <v>353</v>
      </c>
      <c r="C37" s="128" t="s">
        <v>35</v>
      </c>
      <c r="D37" s="126">
        <v>19823674.809999999</v>
      </c>
      <c r="E37" s="126">
        <v>26859708.530000001</v>
      </c>
      <c r="F37" s="126">
        <v>59902894.940000005</v>
      </c>
      <c r="G37" s="126">
        <v>20970135.82</v>
      </c>
      <c r="H37" s="126">
        <v>8800000</v>
      </c>
      <c r="I37" s="399">
        <v>8800000</v>
      </c>
      <c r="J37" s="291">
        <f t="shared" si="1"/>
        <v>100</v>
      </c>
      <c r="K37" s="407">
        <f t="shared" si="2"/>
        <v>0</v>
      </c>
      <c r="L37" s="400">
        <f t="shared" si="3"/>
        <v>-12170135.82</v>
      </c>
    </row>
    <row r="38" spans="2:12" x14ac:dyDescent="0.2">
      <c r="B38" s="127">
        <v>355</v>
      </c>
      <c r="C38" s="128" t="s">
        <v>36</v>
      </c>
      <c r="D38" s="126">
        <v>1875154.04</v>
      </c>
      <c r="E38" s="126">
        <v>3394660.53</v>
      </c>
      <c r="F38" s="126">
        <v>899491.64</v>
      </c>
      <c r="G38" s="126">
        <v>2323303.8000000003</v>
      </c>
      <c r="H38" s="126">
        <v>0</v>
      </c>
      <c r="I38" s="399">
        <v>0</v>
      </c>
      <c r="J38" s="291"/>
      <c r="K38" s="407">
        <f t="shared" si="2"/>
        <v>0</v>
      </c>
      <c r="L38" s="400">
        <f t="shared" si="3"/>
        <v>-2323303.8000000003</v>
      </c>
    </row>
    <row r="39" spans="2:12" x14ac:dyDescent="0.2">
      <c r="B39" s="127">
        <v>358</v>
      </c>
      <c r="C39" s="128" t="s">
        <v>37</v>
      </c>
      <c r="D39" s="126">
        <v>2980240.84</v>
      </c>
      <c r="E39" s="126">
        <v>216093.87</v>
      </c>
      <c r="F39" s="126">
        <v>306753</v>
      </c>
      <c r="G39" s="126">
        <v>833373.52</v>
      </c>
      <c r="H39" s="126">
        <v>0</v>
      </c>
      <c r="I39" s="399">
        <v>0</v>
      </c>
      <c r="J39" s="291"/>
      <c r="K39" s="407">
        <f t="shared" si="2"/>
        <v>0</v>
      </c>
      <c r="L39" s="400">
        <f t="shared" si="3"/>
        <v>-833373.52</v>
      </c>
    </row>
    <row r="40" spans="2:12" x14ac:dyDescent="0.2">
      <c r="B40" s="127">
        <v>359</v>
      </c>
      <c r="C40" s="128" t="s">
        <v>38</v>
      </c>
      <c r="D40" s="126">
        <v>14681.58</v>
      </c>
      <c r="E40" s="126">
        <v>17482.740000000002</v>
      </c>
      <c r="F40" s="126">
        <v>15006.89</v>
      </c>
      <c r="G40" s="126">
        <v>21812.33</v>
      </c>
      <c r="H40" s="126">
        <v>0</v>
      </c>
      <c r="I40" s="399">
        <v>0</v>
      </c>
      <c r="J40" s="291"/>
      <c r="K40" s="407">
        <f t="shared" si="2"/>
        <v>0</v>
      </c>
      <c r="L40" s="400">
        <f t="shared" si="3"/>
        <v>-21812.33</v>
      </c>
    </row>
    <row r="41" spans="2:12" x14ac:dyDescent="0.2">
      <c r="B41" s="127">
        <v>361</v>
      </c>
      <c r="C41" s="128" t="s">
        <v>39</v>
      </c>
      <c r="D41" s="126">
        <v>84513</v>
      </c>
      <c r="E41" s="126">
        <v>1164944.8799999999</v>
      </c>
      <c r="F41" s="126">
        <v>768108.15</v>
      </c>
      <c r="G41" s="126">
        <v>239268.4</v>
      </c>
      <c r="H41" s="126">
        <v>392975</v>
      </c>
      <c r="I41" s="399">
        <v>311136</v>
      </c>
      <c r="J41" s="291">
        <f t="shared" si="1"/>
        <v>79.174502194796105</v>
      </c>
      <c r="K41" s="407">
        <f t="shared" si="2"/>
        <v>-81839</v>
      </c>
      <c r="L41" s="400">
        <f t="shared" si="3"/>
        <v>71867.600000000006</v>
      </c>
    </row>
    <row r="42" spans="2:12" x14ac:dyDescent="0.2">
      <c r="B42" s="127">
        <v>362</v>
      </c>
      <c r="C42" s="128" t="s">
        <v>40</v>
      </c>
      <c r="D42" s="126">
        <v>0</v>
      </c>
      <c r="E42" s="126">
        <v>0</v>
      </c>
      <c r="F42" s="126">
        <v>557336.54</v>
      </c>
      <c r="G42" s="126">
        <v>4403916.13</v>
      </c>
      <c r="H42" s="126">
        <v>0</v>
      </c>
      <c r="I42" s="399">
        <v>0</v>
      </c>
      <c r="J42" s="291"/>
      <c r="K42" s="407">
        <f t="shared" si="2"/>
        <v>0</v>
      </c>
      <c r="L42" s="400">
        <f t="shared" si="3"/>
        <v>-4403916.13</v>
      </c>
    </row>
    <row r="43" spans="2:12" x14ac:dyDescent="0.2">
      <c r="B43" s="127">
        <v>364</v>
      </c>
      <c r="C43" s="128" t="s">
        <v>385</v>
      </c>
      <c r="D43" s="126">
        <v>0</v>
      </c>
      <c r="E43" s="126">
        <v>0</v>
      </c>
      <c r="F43" s="126">
        <v>0</v>
      </c>
      <c r="G43" s="126">
        <v>0</v>
      </c>
      <c r="H43" s="126">
        <v>0</v>
      </c>
      <c r="I43" s="399">
        <v>500000</v>
      </c>
      <c r="J43" s="291"/>
      <c r="K43" s="407">
        <f t="shared" si="2"/>
        <v>500000</v>
      </c>
      <c r="L43" s="400">
        <f t="shared" si="3"/>
        <v>500000</v>
      </c>
    </row>
    <row r="44" spans="2:12" ht="25.5" x14ac:dyDescent="0.2">
      <c r="B44" s="127">
        <v>371</v>
      </c>
      <c r="C44" s="131" t="s">
        <v>41</v>
      </c>
      <c r="D44" s="126">
        <v>131884.01999999999</v>
      </c>
      <c r="E44" s="126">
        <v>21187.91</v>
      </c>
      <c r="F44" s="126">
        <v>37676.639999999999</v>
      </c>
      <c r="G44" s="126">
        <v>46004.380000000005</v>
      </c>
      <c r="H44" s="126">
        <v>0</v>
      </c>
      <c r="I44" s="399">
        <v>35000</v>
      </c>
      <c r="J44" s="291"/>
      <c r="K44" s="407">
        <f t="shared" si="2"/>
        <v>35000</v>
      </c>
      <c r="L44" s="400">
        <f t="shared" si="3"/>
        <v>-11004.380000000005</v>
      </c>
    </row>
    <row r="45" spans="2:12" x14ac:dyDescent="0.2">
      <c r="B45" s="127">
        <v>372</v>
      </c>
      <c r="C45" s="128" t="s">
        <v>42</v>
      </c>
      <c r="D45" s="126">
        <v>5755413</v>
      </c>
      <c r="E45" s="126">
        <v>7356106.2599999998</v>
      </c>
      <c r="F45" s="126">
        <v>6781540</v>
      </c>
      <c r="G45" s="126">
        <v>4086528</v>
      </c>
      <c r="H45" s="126">
        <v>3500000</v>
      </c>
      <c r="I45" s="399">
        <v>3700000</v>
      </c>
      <c r="J45" s="291">
        <f t="shared" si="1"/>
        <v>105.71428571428572</v>
      </c>
      <c r="K45" s="407">
        <f t="shared" si="2"/>
        <v>200000</v>
      </c>
      <c r="L45" s="400">
        <f t="shared" si="3"/>
        <v>-386528</v>
      </c>
    </row>
    <row r="46" spans="2:12" x14ac:dyDescent="0.2">
      <c r="B46" s="127">
        <v>373</v>
      </c>
      <c r="C46" s="128" t="s">
        <v>43</v>
      </c>
      <c r="D46" s="126">
        <v>94676.85</v>
      </c>
      <c r="E46" s="126">
        <v>69376.28</v>
      </c>
      <c r="F46" s="126">
        <v>416599</v>
      </c>
      <c r="G46" s="126">
        <v>1376349</v>
      </c>
      <c r="H46" s="126">
        <v>0</v>
      </c>
      <c r="I46" s="399">
        <v>0</v>
      </c>
      <c r="J46" s="291"/>
      <c r="K46" s="407">
        <f t="shared" si="2"/>
        <v>0</v>
      </c>
      <c r="L46" s="400">
        <f t="shared" si="3"/>
        <v>-1376349</v>
      </c>
    </row>
    <row r="47" spans="2:12" x14ac:dyDescent="0.2">
      <c r="B47" s="127">
        <v>374</v>
      </c>
      <c r="C47" s="128" t="s">
        <v>44</v>
      </c>
      <c r="D47" s="126">
        <v>75355637.099999994</v>
      </c>
      <c r="E47" s="126">
        <v>63361181.189999998</v>
      </c>
      <c r="F47" s="126">
        <v>220650245.91</v>
      </c>
      <c r="G47" s="126">
        <v>78306964.50999999</v>
      </c>
      <c r="H47" s="126">
        <v>40000000</v>
      </c>
      <c r="I47" s="399">
        <v>40000000</v>
      </c>
      <c r="J47" s="291">
        <f t="shared" si="1"/>
        <v>100</v>
      </c>
      <c r="K47" s="407">
        <f t="shared" si="2"/>
        <v>0</v>
      </c>
      <c r="L47" s="400">
        <f t="shared" si="3"/>
        <v>-38306964.50999999</v>
      </c>
    </row>
    <row r="48" spans="2:12" x14ac:dyDescent="0.2">
      <c r="B48" s="127">
        <v>375</v>
      </c>
      <c r="C48" s="128" t="s">
        <v>45</v>
      </c>
      <c r="D48" s="126">
        <v>174616494.94999999</v>
      </c>
      <c r="E48" s="126">
        <v>211660112.63999999</v>
      </c>
      <c r="F48" s="126">
        <v>237492036.09</v>
      </c>
      <c r="G48" s="126">
        <v>236803055.70000002</v>
      </c>
      <c r="H48" s="126">
        <v>235361000</v>
      </c>
      <c r="I48" s="399">
        <v>235661000</v>
      </c>
      <c r="J48" s="291">
        <f t="shared" si="1"/>
        <v>100.12746376842384</v>
      </c>
      <c r="K48" s="407">
        <f t="shared" si="2"/>
        <v>300000</v>
      </c>
      <c r="L48" s="400">
        <f t="shared" si="3"/>
        <v>-1142055.7000000179</v>
      </c>
    </row>
    <row r="49" spans="2:12" x14ac:dyDescent="0.2">
      <c r="B49" s="127">
        <v>376</v>
      </c>
      <c r="C49" s="128" t="s">
        <v>46</v>
      </c>
      <c r="D49" s="126">
        <v>68481461.120000005</v>
      </c>
      <c r="E49" s="126">
        <v>70101533.819999993</v>
      </c>
      <c r="F49" s="126">
        <v>68863675.49000001</v>
      </c>
      <c r="G49" s="126">
        <v>68771384.5</v>
      </c>
      <c r="H49" s="126">
        <v>78898436</v>
      </c>
      <c r="I49" s="399">
        <v>80365952</v>
      </c>
      <c r="J49" s="291">
        <f t="shared" si="1"/>
        <v>101.86000645183893</v>
      </c>
      <c r="K49" s="407">
        <f t="shared" si="2"/>
        <v>1467516</v>
      </c>
      <c r="L49" s="400">
        <f t="shared" si="3"/>
        <v>11594567.5</v>
      </c>
    </row>
    <row r="50" spans="2:12" x14ac:dyDescent="0.2">
      <c r="B50" s="127">
        <v>377</v>
      </c>
      <c r="C50" s="128" t="s">
        <v>47</v>
      </c>
      <c r="D50" s="126">
        <v>31551051.629999999</v>
      </c>
      <c r="E50" s="126">
        <v>42165168.729999997</v>
      </c>
      <c r="F50" s="126">
        <v>293036883.69999999</v>
      </c>
      <c r="G50" s="126">
        <v>271241025.74000001</v>
      </c>
      <c r="H50" s="126">
        <v>734272980</v>
      </c>
      <c r="I50" s="399">
        <v>724987454</v>
      </c>
      <c r="J50" s="291">
        <f t="shared" si="1"/>
        <v>98.735412271332663</v>
      </c>
      <c r="K50" s="407">
        <f t="shared" si="2"/>
        <v>-9285526</v>
      </c>
      <c r="L50" s="400">
        <f t="shared" si="3"/>
        <v>453746428.25999999</v>
      </c>
    </row>
    <row r="51" spans="2:12" ht="25.5" x14ac:dyDescent="0.2">
      <c r="B51" s="127">
        <v>378</v>
      </c>
      <c r="C51" s="131" t="s">
        <v>48</v>
      </c>
      <c r="D51" s="126">
        <v>53706635.210000001</v>
      </c>
      <c r="E51" s="126">
        <v>196312.85</v>
      </c>
      <c r="F51" s="126">
        <v>1042990.54</v>
      </c>
      <c r="G51" s="126">
        <v>318468.94999999995</v>
      </c>
      <c r="H51" s="126">
        <v>4549810</v>
      </c>
      <c r="I51" s="399">
        <v>400000</v>
      </c>
      <c r="J51" s="291">
        <f t="shared" si="1"/>
        <v>8.791575911961159</v>
      </c>
      <c r="K51" s="407">
        <f t="shared" si="2"/>
        <v>-4149810</v>
      </c>
      <c r="L51" s="400">
        <f t="shared" si="3"/>
        <v>81531.050000000047</v>
      </c>
    </row>
    <row r="52" spans="2:12" x14ac:dyDescent="0.2">
      <c r="B52" s="127">
        <v>381</v>
      </c>
      <c r="C52" s="128" t="s">
        <v>49</v>
      </c>
      <c r="D52" s="126">
        <v>2079336.89</v>
      </c>
      <c r="E52" s="126">
        <v>709423.66</v>
      </c>
      <c r="F52" s="126">
        <v>532344.13</v>
      </c>
      <c r="G52" s="126">
        <v>1011221.6</v>
      </c>
      <c r="H52" s="126">
        <v>625517</v>
      </c>
      <c r="I52" s="399">
        <v>908000</v>
      </c>
      <c r="J52" s="291">
        <f t="shared" si="1"/>
        <v>145.15992371110619</v>
      </c>
      <c r="K52" s="407">
        <f t="shared" si="2"/>
        <v>282483</v>
      </c>
      <c r="L52" s="400">
        <f t="shared" si="3"/>
        <v>-103221.59999999998</v>
      </c>
    </row>
    <row r="53" spans="2:12" x14ac:dyDescent="0.2">
      <c r="B53" s="127">
        <v>396</v>
      </c>
      <c r="C53" s="128" t="s">
        <v>50</v>
      </c>
      <c r="D53" s="126">
        <v>0</v>
      </c>
      <c r="E53" s="126">
        <v>0</v>
      </c>
      <c r="F53" s="126">
        <v>0</v>
      </c>
      <c r="G53" s="126"/>
      <c r="H53" s="126">
        <v>0</v>
      </c>
      <c r="I53" s="399">
        <v>0</v>
      </c>
      <c r="J53" s="291"/>
      <c r="K53" s="407">
        <f t="shared" si="2"/>
        <v>0</v>
      </c>
      <c r="L53" s="400">
        <f t="shared" si="3"/>
        <v>0</v>
      </c>
    </row>
    <row r="54" spans="2:12" x14ac:dyDescent="0.2">
      <c r="B54" s="127">
        <v>397</v>
      </c>
      <c r="C54" s="128" t="s">
        <v>51</v>
      </c>
      <c r="D54" s="126">
        <v>22548799240.450001</v>
      </c>
      <c r="E54" s="126">
        <v>18726893025.27</v>
      </c>
      <c r="F54" s="126">
        <v>2222189036.5</v>
      </c>
      <c r="G54" s="126">
        <v>3847071836.0899997</v>
      </c>
      <c r="H54" s="126">
        <v>2611500000</v>
      </c>
      <c r="I54" s="399">
        <v>3511500000</v>
      </c>
      <c r="J54" s="291">
        <f t="shared" si="1"/>
        <v>134.46295232624928</v>
      </c>
      <c r="K54" s="407">
        <f t="shared" si="2"/>
        <v>900000000</v>
      </c>
      <c r="L54" s="400">
        <f t="shared" si="3"/>
        <v>-335571836.08999968</v>
      </c>
    </row>
    <row r="55" spans="2:12" x14ac:dyDescent="0.2">
      <c r="B55" s="127">
        <v>398</v>
      </c>
      <c r="C55" s="128" t="s">
        <v>52</v>
      </c>
      <c r="D55" s="126">
        <v>781426513387.77002</v>
      </c>
      <c r="E55" s="126">
        <v>734929821264.67004</v>
      </c>
      <c r="F55" s="126">
        <v>708880463441.0498</v>
      </c>
      <c r="G55" s="126">
        <v>813901642812.03992</v>
      </c>
      <c r="H55" s="126">
        <v>990151260800</v>
      </c>
      <c r="I55" s="399">
        <v>967981020800</v>
      </c>
      <c r="J55" s="291">
        <f t="shared" si="1"/>
        <v>97.760923923675307</v>
      </c>
      <c r="K55" s="407">
        <f t="shared" si="2"/>
        <v>-22170240000</v>
      </c>
      <c r="L55" s="400">
        <f t="shared" si="3"/>
        <v>154079377987.96008</v>
      </c>
    </row>
    <row r="56" spans="2:12" x14ac:dyDescent="0.2">
      <c r="B56" s="132"/>
      <c r="C56" s="133"/>
      <c r="D56" s="134"/>
      <c r="E56" s="134"/>
      <c r="F56" s="134"/>
      <c r="G56" s="135"/>
      <c r="H56" s="135"/>
      <c r="I56" s="408"/>
      <c r="J56" s="291"/>
      <c r="K56" s="407"/>
      <c r="L56" s="400"/>
    </row>
    <row r="57" spans="2:12" ht="13.5" thickBot="1" x14ac:dyDescent="0.25">
      <c r="B57" s="136"/>
      <c r="C57" s="137"/>
      <c r="D57" s="138"/>
      <c r="E57" s="138"/>
      <c r="F57" s="138"/>
      <c r="G57" s="253"/>
      <c r="H57" s="253"/>
      <c r="I57" s="409"/>
      <c r="J57" s="410"/>
      <c r="K57" s="411"/>
      <c r="L57" s="404"/>
    </row>
    <row r="58" spans="2:12" ht="17.25" customHeight="1" thickTop="1" thickBot="1" x14ac:dyDescent="0.25">
      <c r="B58" s="139"/>
      <c r="C58" s="140" t="s">
        <v>309</v>
      </c>
      <c r="D58" s="141">
        <v>1523222477546.7302</v>
      </c>
      <c r="E58" s="141">
        <v>1475479407784.71</v>
      </c>
      <c r="F58" s="141">
        <v>1487237296456.3999</v>
      </c>
      <c r="G58" s="254">
        <v>1624407054382.8696</v>
      </c>
      <c r="H58" s="254">
        <v>1927954141348</v>
      </c>
      <c r="I58" s="256">
        <v>1898807143341</v>
      </c>
      <c r="J58" s="443">
        <f t="shared" si="1"/>
        <v>98.488190285137136</v>
      </c>
      <c r="K58" s="256">
        <f t="shared" si="2"/>
        <v>-29146998007</v>
      </c>
      <c r="L58" s="406">
        <f t="shared" si="3"/>
        <v>274400088958.13037</v>
      </c>
    </row>
    <row r="59" spans="2:12" x14ac:dyDescent="0.2">
      <c r="J59" s="235"/>
    </row>
    <row r="62" spans="2:12" x14ac:dyDescent="0.2">
      <c r="I62" s="228"/>
    </row>
  </sheetData>
  <printOptions horizontalCentered="1"/>
  <pageMargins left="0.27559055118110237" right="0.23622047244094491" top="0.59055118110236227" bottom="0.51181102362204722" header="0.43307086614173229" footer="0.31496062992125984"/>
  <pageSetup paperSize="9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zoomScale="85" zoomScaleNormal="85" workbookViewId="0">
      <pane xSplit="3" ySplit="7" topLeftCell="D8" activePane="bottomRight" state="frozen"/>
      <selection activeCell="I57" sqref="I57:K58"/>
      <selection pane="topRight" activeCell="I57" sqref="I57:K58"/>
      <selection pane="bottomLeft" activeCell="I57" sqref="I57:K58"/>
      <selection pane="bottomRight"/>
    </sheetView>
  </sheetViews>
  <sheetFormatPr defaultColWidth="8.1640625" defaultRowHeight="12.75" x14ac:dyDescent="0.2"/>
  <cols>
    <col min="1" max="1" width="3.33203125" style="66" customWidth="1"/>
    <col min="2" max="2" width="10.5" style="66" bestFit="1" customWidth="1"/>
    <col min="3" max="3" width="42.6640625" style="66" customWidth="1"/>
    <col min="4" max="6" width="18.83203125" style="66" customWidth="1"/>
    <col min="7" max="11" width="18.83203125" style="227" customWidth="1"/>
    <col min="12" max="12" width="12.83203125" style="227" customWidth="1"/>
    <col min="13" max="13" width="18.1640625" style="227" customWidth="1"/>
    <col min="14" max="14" width="19.33203125" style="227" customWidth="1"/>
    <col min="15" max="15" width="16.83203125" style="227" bestFit="1" customWidth="1"/>
    <col min="16" max="16" width="16.1640625" style="227" bestFit="1" customWidth="1"/>
    <col min="17" max="16384" width="8.1640625" style="66"/>
  </cols>
  <sheetData>
    <row r="1" spans="1:16" s="227" customFormat="1" x14ac:dyDescent="0.2">
      <c r="A1" s="66"/>
      <c r="K1" s="227" t="s">
        <v>53</v>
      </c>
    </row>
    <row r="2" spans="1:16" s="227" customFormat="1" x14ac:dyDescent="0.2">
      <c r="A2" s="66"/>
    </row>
    <row r="3" spans="1:16" s="227" customFormat="1" ht="15" x14ac:dyDescent="0.25">
      <c r="A3" s="66"/>
      <c r="C3" s="229" t="s">
        <v>339</v>
      </c>
    </row>
    <row r="4" spans="1:16" s="227" customFormat="1" x14ac:dyDescent="0.2">
      <c r="A4" s="66"/>
      <c r="C4" s="230" t="s">
        <v>54</v>
      </c>
    </row>
    <row r="5" spans="1:16" s="227" customFormat="1" x14ac:dyDescent="0.2">
      <c r="A5" s="66"/>
      <c r="C5" s="453"/>
      <c r="D5" s="453"/>
      <c r="E5" s="453"/>
      <c r="F5" s="453"/>
      <c r="G5" s="250"/>
      <c r="H5" s="250"/>
      <c r="I5" s="259"/>
      <c r="J5" s="259"/>
      <c r="K5" s="259"/>
      <c r="L5" s="259"/>
    </row>
    <row r="6" spans="1:16" s="227" customFormat="1" ht="13.5" thickBot="1" x14ac:dyDescent="0.25">
      <c r="A6" s="66"/>
      <c r="H6" s="231"/>
      <c r="I6" s="231"/>
      <c r="J6" s="231"/>
      <c r="K6" s="231" t="s">
        <v>55</v>
      </c>
    </row>
    <row r="7" spans="1:16" ht="41.25" customHeight="1" thickBot="1" x14ac:dyDescent="0.25">
      <c r="B7" s="120" t="s">
        <v>3</v>
      </c>
      <c r="C7" s="238" t="s">
        <v>4</v>
      </c>
      <c r="D7" s="206" t="s">
        <v>5</v>
      </c>
      <c r="E7" s="123" t="s">
        <v>259</v>
      </c>
      <c r="F7" s="123" t="s">
        <v>260</v>
      </c>
      <c r="G7" s="206" t="s">
        <v>330</v>
      </c>
      <c r="H7" s="81">
        <v>2023</v>
      </c>
      <c r="I7" s="81">
        <v>2024</v>
      </c>
      <c r="J7" s="81">
        <v>2025</v>
      </c>
      <c r="K7" s="81">
        <v>2026</v>
      </c>
      <c r="L7" s="414" t="s">
        <v>114</v>
      </c>
      <c r="M7" s="206" t="s">
        <v>261</v>
      </c>
      <c r="N7" s="206" t="s">
        <v>332</v>
      </c>
      <c r="O7" s="398" t="s">
        <v>262</v>
      </c>
      <c r="P7" s="261" t="s">
        <v>333</v>
      </c>
    </row>
    <row r="8" spans="1:16" x14ac:dyDescent="0.2">
      <c r="B8" s="124">
        <v>301</v>
      </c>
      <c r="C8" s="125" t="s">
        <v>6</v>
      </c>
      <c r="D8" s="126">
        <v>111212.59</v>
      </c>
      <c r="E8" s="126">
        <v>127209.60000000001</v>
      </c>
      <c r="F8" s="126">
        <v>163501.78999999998</v>
      </c>
      <c r="G8" s="126">
        <v>455441.42</v>
      </c>
      <c r="H8" s="126">
        <v>60000</v>
      </c>
      <c r="I8" s="126">
        <v>60000</v>
      </c>
      <c r="J8" s="126">
        <v>100000</v>
      </c>
      <c r="K8" s="399">
        <v>100000</v>
      </c>
      <c r="L8" s="291">
        <f>+I8/H8*100</f>
        <v>100</v>
      </c>
      <c r="M8" s="126">
        <f>+I8-H8</f>
        <v>0</v>
      </c>
      <c r="N8" s="126">
        <f>+I8-G8</f>
        <v>-395441.42</v>
      </c>
      <c r="O8" s="399">
        <f>+J8-I8</f>
        <v>40000</v>
      </c>
      <c r="P8" s="400">
        <f>+K8-J8</f>
        <v>0</v>
      </c>
    </row>
    <row r="9" spans="1:16" x14ac:dyDescent="0.2">
      <c r="B9" s="127">
        <v>302</v>
      </c>
      <c r="C9" s="128" t="s">
        <v>7</v>
      </c>
      <c r="D9" s="126">
        <v>19151151.760000002</v>
      </c>
      <c r="E9" s="126">
        <v>15626977.91</v>
      </c>
      <c r="F9" s="126">
        <v>14496993.529999999</v>
      </c>
      <c r="G9" s="126">
        <v>19802455.32</v>
      </c>
      <c r="H9" s="126">
        <v>15000000</v>
      </c>
      <c r="I9" s="126">
        <v>17000000</v>
      </c>
      <c r="J9" s="126">
        <v>17000000</v>
      </c>
      <c r="K9" s="399">
        <v>17000000</v>
      </c>
      <c r="L9" s="291">
        <f t="shared" ref="L9:L58" si="0">+I9/H9*100</f>
        <v>113.33333333333333</v>
      </c>
      <c r="M9" s="126">
        <f t="shared" ref="M9:M58" si="1">+I9-H9</f>
        <v>2000000</v>
      </c>
      <c r="N9" s="126">
        <f t="shared" ref="N9:N55" si="2">+I9-G9</f>
        <v>-2802455.3200000003</v>
      </c>
      <c r="O9" s="399">
        <f t="shared" ref="O9:O58" si="3">+J9-I9</f>
        <v>0</v>
      </c>
      <c r="P9" s="400">
        <f t="shared" ref="P9:P58" si="4">+K9-J9</f>
        <v>0</v>
      </c>
    </row>
    <row r="10" spans="1:16" x14ac:dyDescent="0.2">
      <c r="B10" s="127">
        <v>303</v>
      </c>
      <c r="C10" s="128" t="s">
        <v>8</v>
      </c>
      <c r="D10" s="126">
        <v>4129703.12</v>
      </c>
      <c r="E10" s="126">
        <v>3393948.06</v>
      </c>
      <c r="F10" s="126">
        <v>3600761.3600000003</v>
      </c>
      <c r="G10" s="126">
        <v>4477388.9800000004</v>
      </c>
      <c r="H10" s="126">
        <v>2900000</v>
      </c>
      <c r="I10" s="126">
        <v>2900000</v>
      </c>
      <c r="J10" s="126">
        <v>3400000</v>
      </c>
      <c r="K10" s="399">
        <v>3400000</v>
      </c>
      <c r="L10" s="291">
        <f t="shared" si="0"/>
        <v>100</v>
      </c>
      <c r="M10" s="126">
        <f t="shared" si="1"/>
        <v>0</v>
      </c>
      <c r="N10" s="126">
        <f t="shared" si="2"/>
        <v>-1577388.9800000004</v>
      </c>
      <c r="O10" s="399">
        <f t="shared" si="3"/>
        <v>500000</v>
      </c>
      <c r="P10" s="400">
        <f t="shared" si="4"/>
        <v>0</v>
      </c>
    </row>
    <row r="11" spans="1:16" x14ac:dyDescent="0.2">
      <c r="B11" s="127">
        <v>304</v>
      </c>
      <c r="C11" s="128" t="s">
        <v>9</v>
      </c>
      <c r="D11" s="126">
        <v>5720920.1100000003</v>
      </c>
      <c r="E11" s="126">
        <v>1553726.63</v>
      </c>
      <c r="F11" s="126">
        <v>5474005.4699999997</v>
      </c>
      <c r="G11" s="126">
        <v>3822389.31</v>
      </c>
      <c r="H11" s="126">
        <v>1500000</v>
      </c>
      <c r="I11" s="126">
        <v>2000000</v>
      </c>
      <c r="J11" s="126">
        <v>2000000</v>
      </c>
      <c r="K11" s="399">
        <v>2000000</v>
      </c>
      <c r="L11" s="291">
        <f t="shared" si="0"/>
        <v>133.33333333333331</v>
      </c>
      <c r="M11" s="126">
        <f t="shared" si="1"/>
        <v>500000</v>
      </c>
      <c r="N11" s="126">
        <f t="shared" si="2"/>
        <v>-1822389.31</v>
      </c>
      <c r="O11" s="399">
        <f t="shared" si="3"/>
        <v>0</v>
      </c>
      <c r="P11" s="400">
        <f t="shared" si="4"/>
        <v>0</v>
      </c>
    </row>
    <row r="12" spans="1:16" x14ac:dyDescent="0.2">
      <c r="B12" s="127">
        <v>305</v>
      </c>
      <c r="C12" s="128" t="s">
        <v>10</v>
      </c>
      <c r="D12" s="126">
        <v>247773299.40000001</v>
      </c>
      <c r="E12" s="126">
        <v>254573349.83000001</v>
      </c>
      <c r="F12" s="126">
        <v>255266146.61000001</v>
      </c>
      <c r="G12" s="126">
        <v>263086882.88999999</v>
      </c>
      <c r="H12" s="126">
        <v>250000000</v>
      </c>
      <c r="I12" s="126">
        <v>260000000</v>
      </c>
      <c r="J12" s="126">
        <v>260000000</v>
      </c>
      <c r="K12" s="399">
        <v>260000000</v>
      </c>
      <c r="L12" s="291">
        <f t="shared" si="0"/>
        <v>104</v>
      </c>
      <c r="M12" s="126">
        <f t="shared" si="1"/>
        <v>10000000</v>
      </c>
      <c r="N12" s="126">
        <f t="shared" si="2"/>
        <v>-3086882.8899999857</v>
      </c>
      <c r="O12" s="399">
        <f t="shared" si="3"/>
        <v>0</v>
      </c>
      <c r="P12" s="400">
        <f t="shared" si="4"/>
        <v>0</v>
      </c>
    </row>
    <row r="13" spans="1:16" x14ac:dyDescent="0.2">
      <c r="B13" s="127">
        <v>306</v>
      </c>
      <c r="C13" s="128" t="s">
        <v>11</v>
      </c>
      <c r="D13" s="126">
        <v>1071162096.5599999</v>
      </c>
      <c r="E13" s="126">
        <v>550720456.00999999</v>
      </c>
      <c r="F13" s="126">
        <v>550777284.20999992</v>
      </c>
      <c r="G13" s="126">
        <v>484507693.39000005</v>
      </c>
      <c r="H13" s="126">
        <v>675000000</v>
      </c>
      <c r="I13" s="126">
        <v>854000000</v>
      </c>
      <c r="J13" s="126">
        <v>965000000</v>
      </c>
      <c r="K13" s="399">
        <v>965000000</v>
      </c>
      <c r="L13" s="291">
        <f t="shared" si="0"/>
        <v>126.51851851851852</v>
      </c>
      <c r="M13" s="126">
        <f t="shared" si="1"/>
        <v>179000000</v>
      </c>
      <c r="N13" s="126">
        <f t="shared" si="2"/>
        <v>369492306.60999995</v>
      </c>
      <c r="O13" s="399">
        <f t="shared" si="3"/>
        <v>111000000</v>
      </c>
      <c r="P13" s="400">
        <f t="shared" si="4"/>
        <v>0</v>
      </c>
    </row>
    <row r="14" spans="1:16" x14ac:dyDescent="0.2">
      <c r="B14" s="127">
        <v>307</v>
      </c>
      <c r="C14" s="128" t="s">
        <v>12</v>
      </c>
      <c r="D14" s="126">
        <v>5592364332.7399998</v>
      </c>
      <c r="E14" s="126">
        <v>5669472920.3000002</v>
      </c>
      <c r="F14" s="126">
        <v>5735251823.8699989</v>
      </c>
      <c r="G14" s="126">
        <v>5956155910.9900007</v>
      </c>
      <c r="H14" s="126">
        <v>6255402119</v>
      </c>
      <c r="I14" s="126">
        <v>6813981371</v>
      </c>
      <c r="J14" s="126">
        <v>7031876438</v>
      </c>
      <c r="K14" s="399">
        <v>7249784902</v>
      </c>
      <c r="L14" s="291">
        <f t="shared" si="0"/>
        <v>108.92954987343477</v>
      </c>
      <c r="M14" s="126">
        <f t="shared" si="1"/>
        <v>558579252</v>
      </c>
      <c r="N14" s="126">
        <f t="shared" si="2"/>
        <v>857825460.00999928</v>
      </c>
      <c r="O14" s="399">
        <f t="shared" si="3"/>
        <v>217895067</v>
      </c>
      <c r="P14" s="400">
        <f t="shared" si="4"/>
        <v>217908464</v>
      </c>
    </row>
    <row r="15" spans="1:16" x14ac:dyDescent="0.2">
      <c r="B15" s="127">
        <v>308</v>
      </c>
      <c r="C15" s="128" t="s">
        <v>13</v>
      </c>
      <c r="D15" s="126">
        <v>1091889.8899999999</v>
      </c>
      <c r="E15" s="126">
        <v>799019.82</v>
      </c>
      <c r="F15" s="126">
        <v>831267.08000000007</v>
      </c>
      <c r="G15" s="126">
        <v>886724.41999999993</v>
      </c>
      <c r="H15" s="126">
        <v>850000</v>
      </c>
      <c r="I15" s="126">
        <v>850000</v>
      </c>
      <c r="J15" s="126">
        <v>850000</v>
      </c>
      <c r="K15" s="399">
        <v>850000</v>
      </c>
      <c r="L15" s="291">
        <f t="shared" si="0"/>
        <v>100</v>
      </c>
      <c r="M15" s="126">
        <f t="shared" si="1"/>
        <v>0</v>
      </c>
      <c r="N15" s="126">
        <f t="shared" si="2"/>
        <v>-36724.419999999925</v>
      </c>
      <c r="O15" s="399">
        <f t="shared" si="3"/>
        <v>0</v>
      </c>
      <c r="P15" s="400">
        <f t="shared" si="4"/>
        <v>0</v>
      </c>
    </row>
    <row r="16" spans="1:16" x14ac:dyDescent="0.2">
      <c r="B16" s="127">
        <v>309</v>
      </c>
      <c r="C16" s="128" t="s">
        <v>14</v>
      </c>
      <c r="D16" s="126">
        <v>357837.2</v>
      </c>
      <c r="E16" s="126">
        <v>111547.76</v>
      </c>
      <c r="F16" s="126">
        <v>384387.87</v>
      </c>
      <c r="G16" s="126">
        <v>164842.03999999998</v>
      </c>
      <c r="H16" s="126">
        <v>250000</v>
      </c>
      <c r="I16" s="126">
        <v>250000</v>
      </c>
      <c r="J16" s="126">
        <v>250000</v>
      </c>
      <c r="K16" s="399">
        <v>250000</v>
      </c>
      <c r="L16" s="291">
        <f t="shared" si="0"/>
        <v>100</v>
      </c>
      <c r="M16" s="126">
        <f t="shared" si="1"/>
        <v>0</v>
      </c>
      <c r="N16" s="126">
        <f t="shared" si="2"/>
        <v>85157.960000000021</v>
      </c>
      <c r="O16" s="399">
        <f t="shared" si="3"/>
        <v>0</v>
      </c>
      <c r="P16" s="400">
        <f t="shared" si="4"/>
        <v>0</v>
      </c>
    </row>
    <row r="17" spans="2:16" x14ac:dyDescent="0.2">
      <c r="B17" s="127">
        <v>312</v>
      </c>
      <c r="C17" s="128" t="s">
        <v>15</v>
      </c>
      <c r="D17" s="126">
        <v>6499311187.2700005</v>
      </c>
      <c r="E17" s="126">
        <v>5445500660.8699999</v>
      </c>
      <c r="F17" s="126">
        <v>6991707064.1800013</v>
      </c>
      <c r="G17" s="126">
        <v>7506772368.9700022</v>
      </c>
      <c r="H17" s="126">
        <v>5886001785</v>
      </c>
      <c r="I17" s="126">
        <v>7418085707</v>
      </c>
      <c r="J17" s="126">
        <v>7418085707</v>
      </c>
      <c r="K17" s="399">
        <v>7418085707</v>
      </c>
      <c r="L17" s="291">
        <f t="shared" si="0"/>
        <v>126.02928062142951</v>
      </c>
      <c r="M17" s="126">
        <f t="shared" si="1"/>
        <v>1532083922</v>
      </c>
      <c r="N17" s="126">
        <f t="shared" si="2"/>
        <v>-88686661.970002174</v>
      </c>
      <c r="O17" s="399">
        <f t="shared" si="3"/>
        <v>0</v>
      </c>
      <c r="P17" s="400">
        <f t="shared" si="4"/>
        <v>0</v>
      </c>
    </row>
    <row r="18" spans="2:16" x14ac:dyDescent="0.2">
      <c r="B18" s="127">
        <v>313</v>
      </c>
      <c r="C18" s="128" t="s">
        <v>16</v>
      </c>
      <c r="D18" s="129">
        <v>538703631429.84003</v>
      </c>
      <c r="E18" s="129">
        <v>526673891245.95001</v>
      </c>
      <c r="F18" s="129">
        <v>581418431064.04968</v>
      </c>
      <c r="G18" s="126">
        <v>623991695313.43982</v>
      </c>
      <c r="H18" s="126">
        <v>671394650065</v>
      </c>
      <c r="I18" s="126">
        <v>722374838832</v>
      </c>
      <c r="J18" s="126">
        <v>759685155418</v>
      </c>
      <c r="K18" s="399">
        <v>798016876756</v>
      </c>
      <c r="L18" s="291">
        <f t="shared" si="0"/>
        <v>107.59317768797598</v>
      </c>
      <c r="M18" s="126">
        <f t="shared" si="1"/>
        <v>50980188767</v>
      </c>
      <c r="N18" s="126">
        <f t="shared" si="2"/>
        <v>98383143518.560181</v>
      </c>
      <c r="O18" s="399">
        <f t="shared" si="3"/>
        <v>37310316586</v>
      </c>
      <c r="P18" s="400">
        <f t="shared" si="4"/>
        <v>38331721338</v>
      </c>
    </row>
    <row r="19" spans="2:16" x14ac:dyDescent="0.2">
      <c r="B19" s="127">
        <v>314</v>
      </c>
      <c r="C19" s="128" t="s">
        <v>17</v>
      </c>
      <c r="D19" s="129">
        <v>10440500449.5</v>
      </c>
      <c r="E19" s="129">
        <v>11401273012.360001</v>
      </c>
      <c r="F19" s="126">
        <v>11662137651.959999</v>
      </c>
      <c r="G19" s="126">
        <v>11530681921.370007</v>
      </c>
      <c r="H19" s="126">
        <v>11218113627</v>
      </c>
      <c r="I19" s="126">
        <v>11571483434</v>
      </c>
      <c r="J19" s="126">
        <v>11571483434</v>
      </c>
      <c r="K19" s="399">
        <v>11571483434</v>
      </c>
      <c r="L19" s="291">
        <f t="shared" si="0"/>
        <v>103.14999311603961</v>
      </c>
      <c r="M19" s="126">
        <f t="shared" si="1"/>
        <v>353369807</v>
      </c>
      <c r="N19" s="126">
        <f t="shared" si="2"/>
        <v>40801512.629993439</v>
      </c>
      <c r="O19" s="399">
        <f t="shared" si="3"/>
        <v>0</v>
      </c>
      <c r="P19" s="400">
        <f t="shared" si="4"/>
        <v>0</v>
      </c>
    </row>
    <row r="20" spans="2:16" x14ac:dyDescent="0.2">
      <c r="B20" s="127">
        <v>315</v>
      </c>
      <c r="C20" s="128" t="s">
        <v>18</v>
      </c>
      <c r="D20" s="129">
        <v>16192935438.120001</v>
      </c>
      <c r="E20" s="129">
        <v>19020689441.5</v>
      </c>
      <c r="F20" s="126">
        <v>15525650455.710001</v>
      </c>
      <c r="G20" s="126">
        <v>16625599415.139996</v>
      </c>
      <c r="H20" s="126">
        <v>82636960724</v>
      </c>
      <c r="I20" s="126">
        <v>36425499999</v>
      </c>
      <c r="J20" s="126">
        <v>43925499999</v>
      </c>
      <c r="K20" s="399">
        <v>42635499999</v>
      </c>
      <c r="L20" s="291">
        <f t="shared" si="0"/>
        <v>44.078944433421121</v>
      </c>
      <c r="M20" s="126">
        <f t="shared" si="1"/>
        <v>-46211460725</v>
      </c>
      <c r="N20" s="126">
        <f t="shared" si="2"/>
        <v>19799900583.860004</v>
      </c>
      <c r="O20" s="399">
        <f t="shared" si="3"/>
        <v>7500000000</v>
      </c>
      <c r="P20" s="400">
        <f t="shared" si="4"/>
        <v>-1290000000</v>
      </c>
    </row>
    <row r="21" spans="2:16" x14ac:dyDescent="0.2">
      <c r="B21" s="127">
        <v>317</v>
      </c>
      <c r="C21" s="128" t="s">
        <v>19</v>
      </c>
      <c r="D21" s="129">
        <v>69083940.450000003</v>
      </c>
      <c r="E21" s="129">
        <v>83702155.459999993</v>
      </c>
      <c r="F21" s="126">
        <v>102209098.70999999</v>
      </c>
      <c r="G21" s="126">
        <v>107346112.98</v>
      </c>
      <c r="H21" s="126">
        <v>76700000</v>
      </c>
      <c r="I21" s="126">
        <v>88000000</v>
      </c>
      <c r="J21" s="126">
        <v>88000000</v>
      </c>
      <c r="K21" s="399">
        <v>88000000</v>
      </c>
      <c r="L21" s="291">
        <f t="shared" si="0"/>
        <v>114.73272490221642</v>
      </c>
      <c r="M21" s="126">
        <f t="shared" si="1"/>
        <v>11300000</v>
      </c>
      <c r="N21" s="126">
        <f t="shared" si="2"/>
        <v>-19346112.980000004</v>
      </c>
      <c r="O21" s="399">
        <f t="shared" si="3"/>
        <v>0</v>
      </c>
      <c r="P21" s="400">
        <f t="shared" si="4"/>
        <v>0</v>
      </c>
    </row>
    <row r="22" spans="2:16" x14ac:dyDescent="0.2">
      <c r="B22" s="127">
        <v>321</v>
      </c>
      <c r="C22" s="128" t="s">
        <v>20</v>
      </c>
      <c r="D22" s="129">
        <v>7005536.4100000001</v>
      </c>
      <c r="E22" s="129">
        <v>5422873.1799999997</v>
      </c>
      <c r="F22" s="126">
        <v>9856024.3399999999</v>
      </c>
      <c r="G22" s="126">
        <v>3841335.17</v>
      </c>
      <c r="H22" s="126">
        <v>0</v>
      </c>
      <c r="I22" s="126">
        <v>0</v>
      </c>
      <c r="J22" s="126">
        <v>0</v>
      </c>
      <c r="K22" s="399">
        <v>0</v>
      </c>
      <c r="L22" s="291"/>
      <c r="M22" s="126">
        <f t="shared" si="1"/>
        <v>0</v>
      </c>
      <c r="N22" s="126">
        <f t="shared" si="2"/>
        <v>-3841335.17</v>
      </c>
      <c r="O22" s="399">
        <f t="shared" si="3"/>
        <v>0</v>
      </c>
      <c r="P22" s="400">
        <f t="shared" si="4"/>
        <v>0</v>
      </c>
    </row>
    <row r="23" spans="2:16" x14ac:dyDescent="0.2">
      <c r="B23" s="127">
        <v>322</v>
      </c>
      <c r="C23" s="128" t="s">
        <v>21</v>
      </c>
      <c r="D23" s="129">
        <v>3105969027.9000001</v>
      </c>
      <c r="E23" s="129">
        <v>3656414407.4699998</v>
      </c>
      <c r="F23" s="126">
        <v>3645211443.4200001</v>
      </c>
      <c r="G23" s="126">
        <v>3777470756.3699994</v>
      </c>
      <c r="H23" s="126">
        <v>3643498999</v>
      </c>
      <c r="I23" s="126">
        <v>3644332333</v>
      </c>
      <c r="J23" s="126">
        <v>3644333333</v>
      </c>
      <c r="K23" s="399">
        <v>3644333333</v>
      </c>
      <c r="L23" s="291">
        <f t="shared" si="0"/>
        <v>100.02287180537799</v>
      </c>
      <c r="M23" s="126">
        <f t="shared" si="1"/>
        <v>833334</v>
      </c>
      <c r="N23" s="126">
        <f t="shared" si="2"/>
        <v>-133138423.36999941</v>
      </c>
      <c r="O23" s="399">
        <f t="shared" si="3"/>
        <v>1000</v>
      </c>
      <c r="P23" s="400">
        <f t="shared" si="4"/>
        <v>0</v>
      </c>
    </row>
    <row r="24" spans="2:16" x14ac:dyDescent="0.2">
      <c r="B24" s="127">
        <v>327</v>
      </c>
      <c r="C24" s="128" t="s">
        <v>22</v>
      </c>
      <c r="D24" s="129">
        <v>455483040.82999998</v>
      </c>
      <c r="E24" s="129">
        <v>634764921.65999997</v>
      </c>
      <c r="F24" s="126">
        <v>287115282.03999996</v>
      </c>
      <c r="G24" s="126">
        <v>409060557.06999999</v>
      </c>
      <c r="H24" s="126">
        <v>267000000</v>
      </c>
      <c r="I24" s="126">
        <v>377000000</v>
      </c>
      <c r="J24" s="126">
        <v>377000000</v>
      </c>
      <c r="K24" s="399">
        <v>377000000</v>
      </c>
      <c r="L24" s="291">
        <f t="shared" si="0"/>
        <v>141.19850187265916</v>
      </c>
      <c r="M24" s="126">
        <f t="shared" si="1"/>
        <v>110000000</v>
      </c>
      <c r="N24" s="126">
        <f t="shared" si="2"/>
        <v>-32060557.069999993</v>
      </c>
      <c r="O24" s="399">
        <f t="shared" si="3"/>
        <v>0</v>
      </c>
      <c r="P24" s="400">
        <f t="shared" si="4"/>
        <v>0</v>
      </c>
    </row>
    <row r="25" spans="2:16" x14ac:dyDescent="0.2">
      <c r="B25" s="127">
        <v>328</v>
      </c>
      <c r="C25" s="128" t="s">
        <v>23</v>
      </c>
      <c r="D25" s="129">
        <v>856328896.17999995</v>
      </c>
      <c r="E25" s="129">
        <v>862801049.66999996</v>
      </c>
      <c r="F25" s="126">
        <v>6696772491.1899996</v>
      </c>
      <c r="G25" s="126">
        <v>2913568831.5899997</v>
      </c>
      <c r="H25" s="126">
        <v>1065230000</v>
      </c>
      <c r="I25" s="126">
        <v>3065230000</v>
      </c>
      <c r="J25" s="126">
        <v>1048000000</v>
      </c>
      <c r="K25" s="399">
        <v>1048000000</v>
      </c>
      <c r="L25" s="291">
        <f t="shared" si="0"/>
        <v>287.75287965979174</v>
      </c>
      <c r="M25" s="126">
        <f t="shared" si="1"/>
        <v>2000000000</v>
      </c>
      <c r="N25" s="126">
        <f t="shared" si="2"/>
        <v>151661168.41000032</v>
      </c>
      <c r="O25" s="399">
        <f t="shared" si="3"/>
        <v>-2017230000</v>
      </c>
      <c r="P25" s="400">
        <f t="shared" si="4"/>
        <v>0</v>
      </c>
    </row>
    <row r="26" spans="2:16" x14ac:dyDescent="0.2">
      <c r="B26" s="127">
        <v>329</v>
      </c>
      <c r="C26" s="128" t="s">
        <v>24</v>
      </c>
      <c r="D26" s="129">
        <v>2303368218.21</v>
      </c>
      <c r="E26" s="126">
        <v>2248725586</v>
      </c>
      <c r="F26" s="126">
        <v>2519529826.0900002</v>
      </c>
      <c r="G26" s="126">
        <v>6647411086.7899981</v>
      </c>
      <c r="H26" s="126">
        <v>4634300000</v>
      </c>
      <c r="I26" s="126">
        <v>4634300000</v>
      </c>
      <c r="J26" s="126">
        <v>4634300000</v>
      </c>
      <c r="K26" s="399">
        <v>4634300000</v>
      </c>
      <c r="L26" s="291">
        <f t="shared" si="0"/>
        <v>100</v>
      </c>
      <c r="M26" s="126">
        <f t="shared" si="1"/>
        <v>0</v>
      </c>
      <c r="N26" s="126">
        <f t="shared" si="2"/>
        <v>-2013111086.7899981</v>
      </c>
      <c r="O26" s="399">
        <f t="shared" si="3"/>
        <v>0</v>
      </c>
      <c r="P26" s="400">
        <f t="shared" si="4"/>
        <v>0</v>
      </c>
    </row>
    <row r="27" spans="2:16" x14ac:dyDescent="0.2">
      <c r="B27" s="127">
        <v>333</v>
      </c>
      <c r="C27" s="128" t="s">
        <v>25</v>
      </c>
      <c r="D27" s="126">
        <v>161329554.97999999</v>
      </c>
      <c r="E27" s="129">
        <v>155265551.62</v>
      </c>
      <c r="F27" s="126">
        <v>168218094.34999999</v>
      </c>
      <c r="G27" s="126">
        <v>222606374.98000002</v>
      </c>
      <c r="H27" s="126">
        <v>114898600</v>
      </c>
      <c r="I27" s="126">
        <v>114898600</v>
      </c>
      <c r="J27" s="126">
        <v>114898600</v>
      </c>
      <c r="K27" s="399">
        <v>114898600</v>
      </c>
      <c r="L27" s="291">
        <f t="shared" si="0"/>
        <v>100</v>
      </c>
      <c r="M27" s="126">
        <f t="shared" si="1"/>
        <v>0</v>
      </c>
      <c r="N27" s="126">
        <f t="shared" si="2"/>
        <v>-107707774.98000002</v>
      </c>
      <c r="O27" s="399">
        <f t="shared" si="3"/>
        <v>0</v>
      </c>
      <c r="P27" s="400">
        <f t="shared" si="4"/>
        <v>0</v>
      </c>
    </row>
    <row r="28" spans="2:16" x14ac:dyDescent="0.2">
      <c r="B28" s="127">
        <v>334</v>
      </c>
      <c r="C28" s="128" t="s">
        <v>26</v>
      </c>
      <c r="D28" s="129">
        <v>109929963.69</v>
      </c>
      <c r="E28" s="129">
        <v>132160331.45</v>
      </c>
      <c r="F28" s="126">
        <v>135232129.63</v>
      </c>
      <c r="G28" s="126">
        <v>219261633.92999998</v>
      </c>
      <c r="H28" s="126">
        <v>180415111</v>
      </c>
      <c r="I28" s="126">
        <v>180415111</v>
      </c>
      <c r="J28" s="126">
        <v>180415111</v>
      </c>
      <c r="K28" s="399">
        <v>180415111</v>
      </c>
      <c r="L28" s="291">
        <f t="shared" si="0"/>
        <v>100</v>
      </c>
      <c r="M28" s="126">
        <f t="shared" si="1"/>
        <v>0</v>
      </c>
      <c r="N28" s="126">
        <f t="shared" si="2"/>
        <v>-38846522.929999977</v>
      </c>
      <c r="O28" s="399">
        <f t="shared" si="3"/>
        <v>0</v>
      </c>
      <c r="P28" s="400">
        <f t="shared" si="4"/>
        <v>0</v>
      </c>
    </row>
    <row r="29" spans="2:16" x14ac:dyDescent="0.2">
      <c r="B29" s="127">
        <v>335</v>
      </c>
      <c r="C29" s="128" t="s">
        <v>27</v>
      </c>
      <c r="D29" s="129">
        <v>561398151.53999996</v>
      </c>
      <c r="E29" s="129">
        <v>609202423.79999995</v>
      </c>
      <c r="F29" s="126">
        <v>6339306720.4200001</v>
      </c>
      <c r="G29" s="126">
        <v>1650170556.7299993</v>
      </c>
      <c r="H29" s="126">
        <v>1080000000</v>
      </c>
      <c r="I29" s="126">
        <v>580000000</v>
      </c>
      <c r="J29" s="126">
        <v>580000000</v>
      </c>
      <c r="K29" s="399">
        <v>580000000</v>
      </c>
      <c r="L29" s="291">
        <f t="shared" si="0"/>
        <v>53.703703703703709</v>
      </c>
      <c r="M29" s="126">
        <f t="shared" si="1"/>
        <v>-500000000</v>
      </c>
      <c r="N29" s="126">
        <f t="shared" si="2"/>
        <v>-1070170556.7299993</v>
      </c>
      <c r="O29" s="399">
        <f t="shared" si="3"/>
        <v>0</v>
      </c>
      <c r="P29" s="400">
        <f t="shared" si="4"/>
        <v>0</v>
      </c>
    </row>
    <row r="30" spans="2:16" x14ac:dyDescent="0.2">
      <c r="B30" s="127">
        <v>336</v>
      </c>
      <c r="C30" s="128" t="s">
        <v>28</v>
      </c>
      <c r="D30" s="129">
        <v>3813325332.7800002</v>
      </c>
      <c r="E30" s="129">
        <v>3665937565.0799999</v>
      </c>
      <c r="F30" s="129">
        <v>3986751377.3300018</v>
      </c>
      <c r="G30" s="126">
        <v>4025852836.1699986</v>
      </c>
      <c r="H30" s="126">
        <v>3804457560</v>
      </c>
      <c r="I30" s="126">
        <v>3928757560</v>
      </c>
      <c r="J30" s="126">
        <v>3928757560</v>
      </c>
      <c r="K30" s="399">
        <v>3928757560</v>
      </c>
      <c r="L30" s="291">
        <f t="shared" si="0"/>
        <v>103.26722004489912</v>
      </c>
      <c r="M30" s="126">
        <f t="shared" si="1"/>
        <v>124300000</v>
      </c>
      <c r="N30" s="126">
        <f t="shared" si="2"/>
        <v>-97095276.169998646</v>
      </c>
      <c r="O30" s="399">
        <f t="shared" si="3"/>
        <v>0</v>
      </c>
      <c r="P30" s="400">
        <f t="shared" si="4"/>
        <v>0</v>
      </c>
    </row>
    <row r="31" spans="2:16" x14ac:dyDescent="0.2">
      <c r="B31" s="127">
        <v>343</v>
      </c>
      <c r="C31" s="128" t="s">
        <v>29</v>
      </c>
      <c r="D31" s="129">
        <v>2398534.7599999998</v>
      </c>
      <c r="E31" s="129">
        <v>7280154.7300000004</v>
      </c>
      <c r="F31" s="129">
        <v>1233090.31</v>
      </c>
      <c r="G31" s="126">
        <v>1388180.4</v>
      </c>
      <c r="H31" s="126">
        <v>1000000</v>
      </c>
      <c r="I31" s="126">
        <v>1000000</v>
      </c>
      <c r="J31" s="126">
        <v>1000000</v>
      </c>
      <c r="K31" s="399">
        <v>1000000</v>
      </c>
      <c r="L31" s="291">
        <f t="shared" si="0"/>
        <v>100</v>
      </c>
      <c r="M31" s="126">
        <f t="shared" si="1"/>
        <v>0</v>
      </c>
      <c r="N31" s="126">
        <f t="shared" si="2"/>
        <v>-388180.39999999991</v>
      </c>
      <c r="O31" s="399">
        <f t="shared" si="3"/>
        <v>0</v>
      </c>
      <c r="P31" s="400">
        <f t="shared" si="4"/>
        <v>0</v>
      </c>
    </row>
    <row r="32" spans="2:16" x14ac:dyDescent="0.2">
      <c r="B32" s="127">
        <v>344</v>
      </c>
      <c r="C32" s="128" t="s">
        <v>30</v>
      </c>
      <c r="D32" s="129">
        <v>284865750.73000002</v>
      </c>
      <c r="E32" s="129">
        <v>288177176.55000001</v>
      </c>
      <c r="F32" s="129">
        <v>297298794.31999999</v>
      </c>
      <c r="G32" s="126">
        <v>289670731.32999998</v>
      </c>
      <c r="H32" s="126">
        <v>266000000</v>
      </c>
      <c r="I32" s="126">
        <v>266000000</v>
      </c>
      <c r="J32" s="126">
        <v>266000000</v>
      </c>
      <c r="K32" s="399">
        <v>266000000</v>
      </c>
      <c r="L32" s="291">
        <f t="shared" si="0"/>
        <v>100</v>
      </c>
      <c r="M32" s="126">
        <f t="shared" si="1"/>
        <v>0</v>
      </c>
      <c r="N32" s="126">
        <f t="shared" si="2"/>
        <v>-23670731.329999983</v>
      </c>
      <c r="O32" s="399">
        <f t="shared" si="3"/>
        <v>0</v>
      </c>
      <c r="P32" s="400">
        <f t="shared" si="4"/>
        <v>0</v>
      </c>
    </row>
    <row r="33" spans="2:16" x14ac:dyDescent="0.2">
      <c r="B33" s="127">
        <v>345</v>
      </c>
      <c r="C33" s="128" t="s">
        <v>31</v>
      </c>
      <c r="D33" s="129">
        <v>4810776.45</v>
      </c>
      <c r="E33" s="129">
        <v>3043159.9</v>
      </c>
      <c r="F33" s="129">
        <v>11775037.57</v>
      </c>
      <c r="G33" s="126">
        <v>1815025.4200000002</v>
      </c>
      <c r="H33" s="126">
        <v>1000000</v>
      </c>
      <c r="I33" s="126">
        <v>1400000</v>
      </c>
      <c r="J33" s="126">
        <v>1400000</v>
      </c>
      <c r="K33" s="399">
        <v>1400000</v>
      </c>
      <c r="L33" s="291">
        <f t="shared" si="0"/>
        <v>140</v>
      </c>
      <c r="M33" s="126">
        <f t="shared" si="1"/>
        <v>400000</v>
      </c>
      <c r="N33" s="126">
        <f t="shared" si="2"/>
        <v>-415025.42000000016</v>
      </c>
      <c r="O33" s="399">
        <f t="shared" si="3"/>
        <v>0</v>
      </c>
      <c r="P33" s="400">
        <f t="shared" si="4"/>
        <v>0</v>
      </c>
    </row>
    <row r="34" spans="2:16" x14ac:dyDescent="0.2">
      <c r="B34" s="127">
        <v>346</v>
      </c>
      <c r="C34" s="128" t="s">
        <v>32</v>
      </c>
      <c r="D34" s="129">
        <v>871437827.38999999</v>
      </c>
      <c r="E34" s="129">
        <v>1436128932.8699999</v>
      </c>
      <c r="F34" s="129">
        <v>1831535417.1199999</v>
      </c>
      <c r="G34" s="126">
        <v>1445752305.48</v>
      </c>
      <c r="H34" s="126">
        <v>1530000000</v>
      </c>
      <c r="I34" s="126">
        <v>1420000000</v>
      </c>
      <c r="J34" s="126">
        <v>1420000000</v>
      </c>
      <c r="K34" s="399">
        <v>1420000000</v>
      </c>
      <c r="L34" s="291">
        <f t="shared" si="0"/>
        <v>92.810457516339866</v>
      </c>
      <c r="M34" s="126">
        <f t="shared" si="1"/>
        <v>-110000000</v>
      </c>
      <c r="N34" s="126">
        <f t="shared" si="2"/>
        <v>-25752305.480000019</v>
      </c>
      <c r="O34" s="399">
        <f t="shared" si="3"/>
        <v>0</v>
      </c>
      <c r="P34" s="400">
        <f t="shared" si="4"/>
        <v>0</v>
      </c>
    </row>
    <row r="35" spans="2:16" x14ac:dyDescent="0.2">
      <c r="B35" s="127">
        <v>348</v>
      </c>
      <c r="C35" s="128" t="s">
        <v>33</v>
      </c>
      <c r="D35" s="129">
        <v>371008701.57999998</v>
      </c>
      <c r="E35" s="129">
        <v>302483297.20999998</v>
      </c>
      <c r="F35" s="129">
        <v>237466178.76999998</v>
      </c>
      <c r="G35" s="126">
        <v>267019992.76999998</v>
      </c>
      <c r="H35" s="126">
        <v>264866000</v>
      </c>
      <c r="I35" s="126">
        <v>262366000</v>
      </c>
      <c r="J35" s="126">
        <v>262366000</v>
      </c>
      <c r="K35" s="399">
        <v>262366000</v>
      </c>
      <c r="L35" s="291">
        <f t="shared" si="0"/>
        <v>99.056126494151769</v>
      </c>
      <c r="M35" s="126">
        <f t="shared" si="1"/>
        <v>-2500000</v>
      </c>
      <c r="N35" s="126">
        <f t="shared" si="2"/>
        <v>-4653992.7699999809</v>
      </c>
      <c r="O35" s="399">
        <f t="shared" si="3"/>
        <v>0</v>
      </c>
      <c r="P35" s="400">
        <f t="shared" si="4"/>
        <v>0</v>
      </c>
    </row>
    <row r="36" spans="2:16" x14ac:dyDescent="0.2">
      <c r="B36" s="127">
        <v>349</v>
      </c>
      <c r="C36" s="128" t="s">
        <v>34</v>
      </c>
      <c r="D36" s="129">
        <v>312920988.05000001</v>
      </c>
      <c r="E36" s="129">
        <v>311074319.36000001</v>
      </c>
      <c r="F36" s="129">
        <v>319056593.35000002</v>
      </c>
      <c r="G36" s="126">
        <v>328974758.25</v>
      </c>
      <c r="H36" s="126">
        <v>335241600</v>
      </c>
      <c r="I36" s="126">
        <v>535241600</v>
      </c>
      <c r="J36" s="126">
        <v>335241600</v>
      </c>
      <c r="K36" s="399">
        <v>335241600</v>
      </c>
      <c r="L36" s="291">
        <f t="shared" si="0"/>
        <v>159.65846720693375</v>
      </c>
      <c r="M36" s="126">
        <f t="shared" si="1"/>
        <v>200000000</v>
      </c>
      <c r="N36" s="126">
        <f t="shared" si="2"/>
        <v>206266841.75</v>
      </c>
      <c r="O36" s="399">
        <f t="shared" si="3"/>
        <v>-200000000</v>
      </c>
      <c r="P36" s="400">
        <f t="shared" si="4"/>
        <v>0</v>
      </c>
    </row>
    <row r="37" spans="2:16" x14ac:dyDescent="0.2">
      <c r="B37" s="127">
        <v>353</v>
      </c>
      <c r="C37" s="128" t="s">
        <v>35</v>
      </c>
      <c r="D37" s="129">
        <v>19823674.809999999</v>
      </c>
      <c r="E37" s="129">
        <v>26859708.530000001</v>
      </c>
      <c r="F37" s="129">
        <v>59902894.940000005</v>
      </c>
      <c r="G37" s="126">
        <v>20970135.82</v>
      </c>
      <c r="H37" s="126">
        <v>8800000</v>
      </c>
      <c r="I37" s="126">
        <v>8800000</v>
      </c>
      <c r="J37" s="126">
        <v>8800000</v>
      </c>
      <c r="K37" s="399">
        <v>8800000</v>
      </c>
      <c r="L37" s="291">
        <f t="shared" si="0"/>
        <v>100</v>
      </c>
      <c r="M37" s="126">
        <f t="shared" si="1"/>
        <v>0</v>
      </c>
      <c r="N37" s="126">
        <f t="shared" si="2"/>
        <v>-12170135.82</v>
      </c>
      <c r="O37" s="399">
        <f t="shared" si="3"/>
        <v>0</v>
      </c>
      <c r="P37" s="400">
        <f t="shared" si="4"/>
        <v>0</v>
      </c>
    </row>
    <row r="38" spans="2:16" x14ac:dyDescent="0.2">
      <c r="B38" s="127">
        <v>355</v>
      </c>
      <c r="C38" s="128" t="s">
        <v>36</v>
      </c>
      <c r="D38" s="129">
        <v>959962.52</v>
      </c>
      <c r="E38" s="129">
        <v>2503428.0699999998</v>
      </c>
      <c r="F38" s="129">
        <v>899491.6399999999</v>
      </c>
      <c r="G38" s="126">
        <v>2323303.7999999998</v>
      </c>
      <c r="H38" s="126">
        <v>0</v>
      </c>
      <c r="I38" s="126">
        <v>0</v>
      </c>
      <c r="J38" s="126">
        <v>0</v>
      </c>
      <c r="K38" s="399">
        <v>0</v>
      </c>
      <c r="L38" s="291"/>
      <c r="M38" s="126">
        <f t="shared" si="1"/>
        <v>0</v>
      </c>
      <c r="N38" s="126">
        <f t="shared" si="2"/>
        <v>-2323303.7999999998</v>
      </c>
      <c r="O38" s="399">
        <f t="shared" si="3"/>
        <v>0</v>
      </c>
      <c r="P38" s="400">
        <f t="shared" si="4"/>
        <v>0</v>
      </c>
    </row>
    <row r="39" spans="2:16" x14ac:dyDescent="0.2">
      <c r="B39" s="127">
        <v>358</v>
      </c>
      <c r="C39" s="128" t="s">
        <v>37</v>
      </c>
      <c r="D39" s="129">
        <v>2980240.84</v>
      </c>
      <c r="E39" s="129">
        <v>216093.87</v>
      </c>
      <c r="F39" s="129">
        <v>306753</v>
      </c>
      <c r="G39" s="126">
        <v>833373.52</v>
      </c>
      <c r="H39" s="126">
        <v>0</v>
      </c>
      <c r="I39" s="126">
        <v>0</v>
      </c>
      <c r="J39" s="126">
        <v>0</v>
      </c>
      <c r="K39" s="399">
        <v>0</v>
      </c>
      <c r="L39" s="291"/>
      <c r="M39" s="126">
        <f t="shared" si="1"/>
        <v>0</v>
      </c>
      <c r="N39" s="126">
        <f t="shared" si="2"/>
        <v>-833373.52</v>
      </c>
      <c r="O39" s="399">
        <f t="shared" si="3"/>
        <v>0</v>
      </c>
      <c r="P39" s="400">
        <f t="shared" si="4"/>
        <v>0</v>
      </c>
    </row>
    <row r="40" spans="2:16" x14ac:dyDescent="0.2">
      <c r="B40" s="127">
        <v>359</v>
      </c>
      <c r="C40" s="128" t="s">
        <v>38</v>
      </c>
      <c r="D40" s="129">
        <v>14681.58</v>
      </c>
      <c r="E40" s="129">
        <v>17482.740000000002</v>
      </c>
      <c r="F40" s="129">
        <v>15006.89</v>
      </c>
      <c r="G40" s="126">
        <v>21812.33</v>
      </c>
      <c r="H40" s="126">
        <v>0</v>
      </c>
      <c r="I40" s="126">
        <v>0</v>
      </c>
      <c r="J40" s="126">
        <v>0</v>
      </c>
      <c r="K40" s="399">
        <v>0</v>
      </c>
      <c r="L40" s="291"/>
      <c r="M40" s="126">
        <f t="shared" si="1"/>
        <v>0</v>
      </c>
      <c r="N40" s="126">
        <f t="shared" si="2"/>
        <v>-21812.33</v>
      </c>
      <c r="O40" s="399">
        <f t="shared" si="3"/>
        <v>0</v>
      </c>
      <c r="P40" s="400">
        <f t="shared" si="4"/>
        <v>0</v>
      </c>
    </row>
    <row r="41" spans="2:16" x14ac:dyDescent="0.2">
      <c r="B41" s="127">
        <v>361</v>
      </c>
      <c r="C41" s="128" t="s">
        <v>39</v>
      </c>
      <c r="D41" s="129">
        <v>84513</v>
      </c>
      <c r="E41" s="129">
        <v>70379</v>
      </c>
      <c r="F41" s="129">
        <v>335514.52</v>
      </c>
      <c r="G41" s="126">
        <v>239268.4</v>
      </c>
      <c r="H41" s="126">
        <v>0</v>
      </c>
      <c r="I41" s="126">
        <v>0</v>
      </c>
      <c r="J41" s="126">
        <v>0</v>
      </c>
      <c r="K41" s="399">
        <v>0</v>
      </c>
      <c r="L41" s="291"/>
      <c r="M41" s="126">
        <f t="shared" si="1"/>
        <v>0</v>
      </c>
      <c r="N41" s="126">
        <f t="shared" si="2"/>
        <v>-239268.4</v>
      </c>
      <c r="O41" s="399">
        <f t="shared" si="3"/>
        <v>0</v>
      </c>
      <c r="P41" s="400">
        <f t="shared" si="4"/>
        <v>0</v>
      </c>
    </row>
    <row r="42" spans="2:16" x14ac:dyDescent="0.2">
      <c r="B42" s="127">
        <v>362</v>
      </c>
      <c r="C42" s="128" t="s">
        <v>40</v>
      </c>
      <c r="D42" s="126">
        <v>0</v>
      </c>
      <c r="E42" s="126">
        <v>0</v>
      </c>
      <c r="F42" s="126">
        <v>557336.54</v>
      </c>
      <c r="G42" s="126">
        <v>749454.37</v>
      </c>
      <c r="H42" s="126">
        <v>0</v>
      </c>
      <c r="I42" s="126">
        <v>0</v>
      </c>
      <c r="J42" s="126">
        <v>0</v>
      </c>
      <c r="K42" s="399">
        <v>0</v>
      </c>
      <c r="L42" s="291"/>
      <c r="M42" s="126">
        <f t="shared" si="1"/>
        <v>0</v>
      </c>
      <c r="N42" s="126">
        <f t="shared" si="2"/>
        <v>-749454.37</v>
      </c>
      <c r="O42" s="399">
        <f t="shared" si="3"/>
        <v>0</v>
      </c>
      <c r="P42" s="400">
        <f t="shared" si="4"/>
        <v>0</v>
      </c>
    </row>
    <row r="43" spans="2:16" x14ac:dyDescent="0.2">
      <c r="B43" s="127">
        <v>364</v>
      </c>
      <c r="C43" s="128" t="s">
        <v>385</v>
      </c>
      <c r="D43" s="126">
        <v>0</v>
      </c>
      <c r="E43" s="126">
        <v>0</v>
      </c>
      <c r="F43" s="126">
        <v>0</v>
      </c>
      <c r="G43" s="126">
        <v>0</v>
      </c>
      <c r="H43" s="126">
        <v>0</v>
      </c>
      <c r="I43" s="126">
        <v>500000</v>
      </c>
      <c r="J43" s="126">
        <v>500000</v>
      </c>
      <c r="K43" s="399">
        <v>500000</v>
      </c>
      <c r="L43" s="291"/>
      <c r="M43" s="126">
        <f t="shared" si="1"/>
        <v>500000</v>
      </c>
      <c r="N43" s="126">
        <f t="shared" si="2"/>
        <v>500000</v>
      </c>
      <c r="O43" s="399">
        <f t="shared" si="3"/>
        <v>0</v>
      </c>
      <c r="P43" s="400">
        <f t="shared" si="4"/>
        <v>0</v>
      </c>
    </row>
    <row r="44" spans="2:16" ht="25.5" x14ac:dyDescent="0.2">
      <c r="B44" s="127">
        <v>371</v>
      </c>
      <c r="C44" s="131" t="s">
        <v>41</v>
      </c>
      <c r="D44" s="126">
        <v>131884.01999999999</v>
      </c>
      <c r="E44" s="126">
        <v>21187.91</v>
      </c>
      <c r="F44" s="126">
        <v>37676.639999999999</v>
      </c>
      <c r="G44" s="126">
        <v>46004.380000000005</v>
      </c>
      <c r="H44" s="126">
        <v>0</v>
      </c>
      <c r="I44" s="126">
        <v>35000</v>
      </c>
      <c r="J44" s="126">
        <v>35000</v>
      </c>
      <c r="K44" s="399">
        <v>35000</v>
      </c>
      <c r="L44" s="291"/>
      <c r="M44" s="126">
        <f t="shared" si="1"/>
        <v>35000</v>
      </c>
      <c r="N44" s="126">
        <f t="shared" si="2"/>
        <v>-11004.380000000005</v>
      </c>
      <c r="O44" s="399">
        <f t="shared" si="3"/>
        <v>0</v>
      </c>
      <c r="P44" s="400">
        <f t="shared" si="4"/>
        <v>0</v>
      </c>
    </row>
    <row r="45" spans="2:16" x14ac:dyDescent="0.2">
      <c r="B45" s="127">
        <v>372</v>
      </c>
      <c r="C45" s="128" t="s">
        <v>42</v>
      </c>
      <c r="D45" s="126">
        <v>5755413</v>
      </c>
      <c r="E45" s="126">
        <v>7356106.2599999998</v>
      </c>
      <c r="F45" s="126">
        <v>6781540</v>
      </c>
      <c r="G45" s="126">
        <v>4086528</v>
      </c>
      <c r="H45" s="126">
        <v>3500000</v>
      </c>
      <c r="I45" s="126">
        <v>3700000</v>
      </c>
      <c r="J45" s="126">
        <v>3700000</v>
      </c>
      <c r="K45" s="399">
        <v>3700000</v>
      </c>
      <c r="L45" s="291">
        <f t="shared" si="0"/>
        <v>105.71428571428572</v>
      </c>
      <c r="M45" s="126">
        <f t="shared" si="1"/>
        <v>200000</v>
      </c>
      <c r="N45" s="126">
        <f t="shared" si="2"/>
        <v>-386528</v>
      </c>
      <c r="O45" s="399">
        <f t="shared" si="3"/>
        <v>0</v>
      </c>
      <c r="P45" s="400">
        <f t="shared" si="4"/>
        <v>0</v>
      </c>
    </row>
    <row r="46" spans="2:16" x14ac:dyDescent="0.2">
      <c r="B46" s="127">
        <v>373</v>
      </c>
      <c r="C46" s="128" t="s">
        <v>43</v>
      </c>
      <c r="D46" s="126">
        <v>94676.85</v>
      </c>
      <c r="E46" s="126">
        <v>69376.28</v>
      </c>
      <c r="F46" s="126">
        <v>416599</v>
      </c>
      <c r="G46" s="126">
        <v>1376349</v>
      </c>
      <c r="H46" s="126">
        <v>0</v>
      </c>
      <c r="I46" s="126">
        <v>0</v>
      </c>
      <c r="J46" s="126">
        <v>0</v>
      </c>
      <c r="K46" s="399">
        <v>0</v>
      </c>
      <c r="L46" s="291"/>
      <c r="M46" s="126">
        <f t="shared" si="1"/>
        <v>0</v>
      </c>
      <c r="N46" s="126">
        <f t="shared" si="2"/>
        <v>-1376349</v>
      </c>
      <c r="O46" s="399">
        <f t="shared" si="3"/>
        <v>0</v>
      </c>
      <c r="P46" s="400">
        <f t="shared" si="4"/>
        <v>0</v>
      </c>
    </row>
    <row r="47" spans="2:16" x14ac:dyDescent="0.2">
      <c r="B47" s="127">
        <v>374</v>
      </c>
      <c r="C47" s="128" t="s">
        <v>44</v>
      </c>
      <c r="D47" s="126">
        <v>75355637.099999994</v>
      </c>
      <c r="E47" s="126">
        <v>63361181.189999998</v>
      </c>
      <c r="F47" s="126">
        <v>216646524.75</v>
      </c>
      <c r="G47" s="126">
        <v>64138270.020000011</v>
      </c>
      <c r="H47" s="126">
        <v>40000000</v>
      </c>
      <c r="I47" s="126">
        <v>40000000</v>
      </c>
      <c r="J47" s="126">
        <v>40000000</v>
      </c>
      <c r="K47" s="399">
        <v>40000000</v>
      </c>
      <c r="L47" s="291">
        <f t="shared" si="0"/>
        <v>100</v>
      </c>
      <c r="M47" s="126">
        <f t="shared" si="1"/>
        <v>0</v>
      </c>
      <c r="N47" s="126">
        <f t="shared" si="2"/>
        <v>-24138270.020000011</v>
      </c>
      <c r="O47" s="399">
        <f t="shared" si="3"/>
        <v>0</v>
      </c>
      <c r="P47" s="400">
        <f t="shared" si="4"/>
        <v>0</v>
      </c>
    </row>
    <row r="48" spans="2:16" x14ac:dyDescent="0.2">
      <c r="B48" s="127">
        <v>375</v>
      </c>
      <c r="C48" s="128" t="s">
        <v>45</v>
      </c>
      <c r="D48" s="126">
        <v>174616494.94999999</v>
      </c>
      <c r="E48" s="126">
        <v>211660112.63999999</v>
      </c>
      <c r="F48" s="126">
        <v>237492036.09</v>
      </c>
      <c r="G48" s="126">
        <v>236803055.70000002</v>
      </c>
      <c r="H48" s="126">
        <v>235361000</v>
      </c>
      <c r="I48" s="126">
        <v>235661000</v>
      </c>
      <c r="J48" s="126">
        <v>235661000</v>
      </c>
      <c r="K48" s="399">
        <v>235661000</v>
      </c>
      <c r="L48" s="291">
        <f t="shared" si="0"/>
        <v>100.12746376842384</v>
      </c>
      <c r="M48" s="126">
        <f t="shared" si="1"/>
        <v>300000</v>
      </c>
      <c r="N48" s="126">
        <f t="shared" si="2"/>
        <v>-1142055.7000000179</v>
      </c>
      <c r="O48" s="399">
        <f t="shared" si="3"/>
        <v>0</v>
      </c>
      <c r="P48" s="400">
        <f t="shared" si="4"/>
        <v>0</v>
      </c>
    </row>
    <row r="49" spans="2:16" x14ac:dyDescent="0.2">
      <c r="B49" s="127">
        <v>376</v>
      </c>
      <c r="C49" s="128" t="s">
        <v>46</v>
      </c>
      <c r="D49" s="126">
        <v>68481461.120000005</v>
      </c>
      <c r="E49" s="126">
        <v>70101533.819999993</v>
      </c>
      <c r="F49" s="126">
        <v>68863675.49000001</v>
      </c>
      <c r="G49" s="126">
        <v>68771384.5</v>
      </c>
      <c r="H49" s="126">
        <v>78898436</v>
      </c>
      <c r="I49" s="126">
        <v>80365952</v>
      </c>
      <c r="J49" s="126">
        <v>80365952</v>
      </c>
      <c r="K49" s="399">
        <v>80365952</v>
      </c>
      <c r="L49" s="291">
        <f t="shared" si="0"/>
        <v>101.86000645183893</v>
      </c>
      <c r="M49" s="126">
        <f t="shared" si="1"/>
        <v>1467516</v>
      </c>
      <c r="N49" s="126">
        <f t="shared" si="2"/>
        <v>11594567.5</v>
      </c>
      <c r="O49" s="399">
        <f t="shared" si="3"/>
        <v>0</v>
      </c>
      <c r="P49" s="400">
        <f t="shared" si="4"/>
        <v>0</v>
      </c>
    </row>
    <row r="50" spans="2:16" x14ac:dyDescent="0.2">
      <c r="B50" s="127">
        <v>377</v>
      </c>
      <c r="C50" s="128" t="s">
        <v>47</v>
      </c>
      <c r="D50" s="126">
        <v>10623340.85</v>
      </c>
      <c r="E50" s="126">
        <v>11494903.699999999</v>
      </c>
      <c r="F50" s="126">
        <v>29051754.319999997</v>
      </c>
      <c r="G50" s="126">
        <v>23859587.489999998</v>
      </c>
      <c r="H50" s="126">
        <v>0</v>
      </c>
      <c r="I50" s="126">
        <v>0</v>
      </c>
      <c r="J50" s="126">
        <v>0</v>
      </c>
      <c r="K50" s="399">
        <v>0</v>
      </c>
      <c r="L50" s="291"/>
      <c r="M50" s="126">
        <f t="shared" si="1"/>
        <v>0</v>
      </c>
      <c r="N50" s="126">
        <f t="shared" si="2"/>
        <v>-23859587.489999998</v>
      </c>
      <c r="O50" s="399">
        <f t="shared" si="3"/>
        <v>0</v>
      </c>
      <c r="P50" s="400">
        <f t="shared" si="4"/>
        <v>0</v>
      </c>
    </row>
    <row r="51" spans="2:16" ht="25.5" x14ac:dyDescent="0.2">
      <c r="B51" s="127">
        <v>378</v>
      </c>
      <c r="C51" s="131" t="s">
        <v>48</v>
      </c>
      <c r="D51" s="126">
        <v>216548.38</v>
      </c>
      <c r="E51" s="126">
        <v>196312.85</v>
      </c>
      <c r="F51" s="126">
        <v>1042990.54</v>
      </c>
      <c r="G51" s="126">
        <v>318468.94999999995</v>
      </c>
      <c r="H51" s="126">
        <v>400000</v>
      </c>
      <c r="I51" s="126">
        <v>400000</v>
      </c>
      <c r="J51" s="126">
        <v>400000</v>
      </c>
      <c r="K51" s="399">
        <v>400000</v>
      </c>
      <c r="L51" s="291">
        <f t="shared" si="0"/>
        <v>100</v>
      </c>
      <c r="M51" s="126">
        <f t="shared" si="1"/>
        <v>0</v>
      </c>
      <c r="N51" s="126">
        <f t="shared" si="2"/>
        <v>81531.050000000047</v>
      </c>
      <c r="O51" s="399">
        <f t="shared" si="3"/>
        <v>0</v>
      </c>
      <c r="P51" s="400">
        <f t="shared" si="4"/>
        <v>0</v>
      </c>
    </row>
    <row r="52" spans="2:16" x14ac:dyDescent="0.2">
      <c r="B52" s="127">
        <v>381</v>
      </c>
      <c r="C52" s="128" t="s">
        <v>49</v>
      </c>
      <c r="D52" s="126">
        <v>1808472.89</v>
      </c>
      <c r="E52" s="126">
        <v>709423.66</v>
      </c>
      <c r="F52" s="126">
        <v>532344.13</v>
      </c>
      <c r="G52" s="126">
        <v>1011221.6</v>
      </c>
      <c r="H52" s="126">
        <v>625517</v>
      </c>
      <c r="I52" s="126">
        <v>908000</v>
      </c>
      <c r="J52" s="126">
        <v>908000</v>
      </c>
      <c r="K52" s="399">
        <v>908000</v>
      </c>
      <c r="L52" s="291">
        <f t="shared" si="0"/>
        <v>145.15992371110619</v>
      </c>
      <c r="M52" s="126">
        <f t="shared" si="1"/>
        <v>282483</v>
      </c>
      <c r="N52" s="126">
        <f t="shared" si="2"/>
        <v>-103221.59999999998</v>
      </c>
      <c r="O52" s="399">
        <f t="shared" si="3"/>
        <v>0</v>
      </c>
      <c r="P52" s="400">
        <f t="shared" si="4"/>
        <v>0</v>
      </c>
    </row>
    <row r="53" spans="2:16" x14ac:dyDescent="0.2">
      <c r="B53" s="127">
        <v>396</v>
      </c>
      <c r="C53" s="128" t="s">
        <v>50</v>
      </c>
      <c r="D53" s="126">
        <v>0</v>
      </c>
      <c r="E53" s="126">
        <v>0</v>
      </c>
      <c r="F53" s="126">
        <v>0</v>
      </c>
      <c r="G53" s="126">
        <v>0</v>
      </c>
      <c r="H53" s="126">
        <v>0</v>
      </c>
      <c r="I53" s="126">
        <v>0</v>
      </c>
      <c r="J53" s="126">
        <v>0</v>
      </c>
      <c r="K53" s="399">
        <v>0</v>
      </c>
      <c r="L53" s="291"/>
      <c r="M53" s="126">
        <f t="shared" si="1"/>
        <v>0</v>
      </c>
      <c r="N53" s="126">
        <f t="shared" si="2"/>
        <v>0</v>
      </c>
      <c r="O53" s="399">
        <f t="shared" si="3"/>
        <v>0</v>
      </c>
      <c r="P53" s="400">
        <f t="shared" si="4"/>
        <v>0</v>
      </c>
    </row>
    <row r="54" spans="2:16" x14ac:dyDescent="0.2">
      <c r="B54" s="127">
        <v>397</v>
      </c>
      <c r="C54" s="128" t="s">
        <v>51</v>
      </c>
      <c r="D54" s="126">
        <v>22548799240.450001</v>
      </c>
      <c r="E54" s="126">
        <v>18726893025.27</v>
      </c>
      <c r="F54" s="126">
        <v>2222189036.5</v>
      </c>
      <c r="G54" s="126">
        <v>3847071836.0900002</v>
      </c>
      <c r="H54" s="126">
        <v>2611500000</v>
      </c>
      <c r="I54" s="126">
        <v>3511500000</v>
      </c>
      <c r="J54" s="126">
        <v>3011500000</v>
      </c>
      <c r="K54" s="399">
        <v>3011500000</v>
      </c>
      <c r="L54" s="291">
        <f t="shared" si="0"/>
        <v>134.46295232624928</v>
      </c>
      <c r="M54" s="126">
        <f t="shared" si="1"/>
        <v>900000000</v>
      </c>
      <c r="N54" s="126">
        <f t="shared" si="2"/>
        <v>-335571836.09000015</v>
      </c>
      <c r="O54" s="399">
        <f t="shared" si="3"/>
        <v>-500000000</v>
      </c>
      <c r="P54" s="400">
        <f t="shared" si="4"/>
        <v>0</v>
      </c>
    </row>
    <row r="55" spans="2:16" x14ac:dyDescent="0.2">
      <c r="B55" s="127">
        <v>398</v>
      </c>
      <c r="C55" s="128" t="s">
        <v>52</v>
      </c>
      <c r="D55" s="126">
        <v>781426513387.77002</v>
      </c>
      <c r="E55" s="126">
        <v>734929821264.67004</v>
      </c>
      <c r="F55" s="126">
        <v>708880463441.04993</v>
      </c>
      <c r="G55" s="126">
        <v>813901642812.03992</v>
      </c>
      <c r="H55" s="126">
        <v>990151260800</v>
      </c>
      <c r="I55" s="126">
        <v>967981020800</v>
      </c>
      <c r="J55" s="126">
        <v>1039772710800</v>
      </c>
      <c r="K55" s="399">
        <v>1070769670800</v>
      </c>
      <c r="L55" s="291">
        <f t="shared" si="0"/>
        <v>97.760923923675307</v>
      </c>
      <c r="M55" s="126">
        <f t="shared" si="1"/>
        <v>-22170240000</v>
      </c>
      <c r="N55" s="126">
        <f t="shared" si="2"/>
        <v>154079377987.96008</v>
      </c>
      <c r="O55" s="399">
        <f t="shared" si="3"/>
        <v>71791690000</v>
      </c>
      <c r="P55" s="400">
        <f t="shared" si="4"/>
        <v>30996960000</v>
      </c>
    </row>
    <row r="56" spans="2:16" x14ac:dyDescent="0.2">
      <c r="B56" s="132"/>
      <c r="C56" s="133"/>
      <c r="D56" s="134"/>
      <c r="E56" s="134"/>
      <c r="F56" s="134"/>
      <c r="G56" s="135"/>
      <c r="H56" s="126"/>
      <c r="I56" s="130"/>
      <c r="J56" s="130"/>
      <c r="K56" s="130"/>
      <c r="L56" s="415"/>
      <c r="M56" s="135"/>
      <c r="N56" s="135"/>
      <c r="O56" s="399"/>
      <c r="P56" s="400"/>
    </row>
    <row r="57" spans="2:16" ht="13.5" thickBot="1" x14ac:dyDescent="0.25">
      <c r="B57" s="136"/>
      <c r="C57" s="137"/>
      <c r="D57" s="138"/>
      <c r="E57" s="138"/>
      <c r="F57" s="138"/>
      <c r="G57" s="253"/>
      <c r="H57" s="253"/>
      <c r="I57" s="253"/>
      <c r="J57" s="253"/>
      <c r="K57" s="253"/>
      <c r="L57" s="403"/>
      <c r="M57" s="253"/>
      <c r="N57" s="253"/>
      <c r="O57" s="408"/>
      <c r="P57" s="404"/>
    </row>
    <row r="58" spans="2:16" ht="17.25" customHeight="1" thickTop="1" thickBot="1" x14ac:dyDescent="0.25">
      <c r="B58" s="139"/>
      <c r="C58" s="140" t="s">
        <v>309</v>
      </c>
      <c r="D58" s="141">
        <v>1396405164820.1597</v>
      </c>
      <c r="E58" s="141">
        <v>1337491668943.0698</v>
      </c>
      <c r="F58" s="141">
        <v>1360478274622.6899</v>
      </c>
      <c r="G58" s="254">
        <v>1506873582689.1196</v>
      </c>
      <c r="H58" s="254">
        <v>1788731641943</v>
      </c>
      <c r="I58" s="254">
        <v>1776702781299</v>
      </c>
      <c r="J58" s="254">
        <v>1890916993952</v>
      </c>
      <c r="K58" s="256">
        <v>1959173583754</v>
      </c>
      <c r="L58" s="443">
        <f t="shared" si="0"/>
        <v>99.327520106317706</v>
      </c>
      <c r="M58" s="256">
        <f t="shared" si="1"/>
        <v>-12028860644</v>
      </c>
      <c r="N58" s="254">
        <f>+I58-G58</f>
        <v>269829198609.88037</v>
      </c>
      <c r="O58" s="256">
        <f t="shared" si="3"/>
        <v>114214212653</v>
      </c>
      <c r="P58" s="416">
        <f t="shared" si="4"/>
        <v>68256589802</v>
      </c>
    </row>
    <row r="59" spans="2:16" x14ac:dyDescent="0.2">
      <c r="L59" s="235"/>
      <c r="P59" s="235"/>
    </row>
    <row r="64" spans="2:16" x14ac:dyDescent="0.2">
      <c r="I64" s="228"/>
      <c r="J64" s="228"/>
      <c r="K64" s="228"/>
    </row>
  </sheetData>
  <mergeCells count="1">
    <mergeCell ref="C5:F5"/>
  </mergeCells>
  <printOptions horizontalCentered="1" verticalCentered="1"/>
  <pageMargins left="7.874015748031496E-2" right="3.937007874015748E-2" top="0.19685039370078741" bottom="0.31496062992125984" header="0.43307086614173229" footer="0.31496062992125984"/>
  <pageSetup paperSize="9"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8"/>
  <sheetViews>
    <sheetView zoomScale="85" zoomScaleNormal="85" workbookViewId="0">
      <pane xSplit="3" ySplit="7" topLeftCell="D8" activePane="bottomRight" state="frozen"/>
      <selection activeCell="A37" sqref="A37:XFD42"/>
      <selection pane="topRight" activeCell="A37" sqref="A37:XFD42"/>
      <selection pane="bottomLeft" activeCell="A37" sqref="A37:XFD42"/>
      <selection pane="bottomRight"/>
    </sheetView>
  </sheetViews>
  <sheetFormatPr defaultColWidth="9.33203125" defaultRowHeight="12.75" x14ac:dyDescent="0.2"/>
  <cols>
    <col min="1" max="1" width="3.33203125" style="66" customWidth="1"/>
    <col min="2" max="2" width="10.5" style="66" bestFit="1" customWidth="1"/>
    <col min="3" max="3" width="42.6640625" style="66" customWidth="1"/>
    <col min="4" max="6" width="18" style="66" customWidth="1"/>
    <col min="7" max="11" width="18" style="227" customWidth="1"/>
    <col min="12" max="12" width="12.6640625" style="227" customWidth="1"/>
    <col min="13" max="13" width="17.6640625" style="227" bestFit="1" customWidth="1"/>
    <col min="14" max="14" width="20" style="227" customWidth="1"/>
    <col min="15" max="16384" width="9.33203125" style="66"/>
  </cols>
  <sheetData>
    <row r="1" spans="2:14" x14ac:dyDescent="0.2">
      <c r="J1" s="231"/>
      <c r="K1" s="231" t="s">
        <v>121</v>
      </c>
    </row>
    <row r="2" spans="2:14" x14ac:dyDescent="0.2">
      <c r="C2" s="239" t="s">
        <v>122</v>
      </c>
    </row>
    <row r="3" spans="2:14" ht="15" x14ac:dyDescent="0.25">
      <c r="C3" s="229" t="s">
        <v>340</v>
      </c>
    </row>
    <row r="5" spans="2:14" x14ac:dyDescent="0.2">
      <c r="C5" s="454"/>
      <c r="D5" s="454"/>
      <c r="E5" s="454"/>
      <c r="F5" s="454"/>
      <c r="G5" s="250"/>
      <c r="H5" s="250"/>
      <c r="I5" s="259"/>
      <c r="J5" s="259"/>
      <c r="K5" s="259"/>
      <c r="L5" s="259"/>
    </row>
    <row r="6" spans="2:14" ht="13.5" thickBot="1" x14ac:dyDescent="0.25">
      <c r="J6" s="231"/>
      <c r="K6" s="231" t="s">
        <v>2</v>
      </c>
    </row>
    <row r="7" spans="2:14" ht="54" customHeight="1" thickBot="1" x14ac:dyDescent="0.25">
      <c r="B7" s="120" t="s">
        <v>3</v>
      </c>
      <c r="C7" s="238" t="s">
        <v>4</v>
      </c>
      <c r="D7" s="81" t="s">
        <v>5</v>
      </c>
      <c r="E7" s="123" t="s">
        <v>263</v>
      </c>
      <c r="F7" s="123" t="s">
        <v>264</v>
      </c>
      <c r="G7" s="206" t="s">
        <v>334</v>
      </c>
      <c r="H7" s="81">
        <v>2023</v>
      </c>
      <c r="I7" s="81">
        <v>2024</v>
      </c>
      <c r="J7" s="81">
        <v>2025</v>
      </c>
      <c r="K7" s="81">
        <v>2026</v>
      </c>
      <c r="L7" s="206" t="s">
        <v>114</v>
      </c>
      <c r="M7" s="398" t="s">
        <v>261</v>
      </c>
      <c r="N7" s="261" t="s">
        <v>335</v>
      </c>
    </row>
    <row r="8" spans="2:14" x14ac:dyDescent="0.2">
      <c r="B8" s="124">
        <v>301</v>
      </c>
      <c r="C8" s="125" t="s">
        <v>6</v>
      </c>
      <c r="D8" s="126">
        <v>0</v>
      </c>
      <c r="E8" s="126">
        <v>0</v>
      </c>
      <c r="F8" s="126">
        <v>0</v>
      </c>
      <c r="G8" s="126">
        <v>0</v>
      </c>
      <c r="H8" s="126">
        <v>0</v>
      </c>
      <c r="I8" s="126">
        <v>0</v>
      </c>
      <c r="J8" s="126">
        <v>0</v>
      </c>
      <c r="K8" s="399">
        <v>0</v>
      </c>
      <c r="L8" s="291"/>
      <c r="M8" s="126">
        <f>+I8-H8</f>
        <v>0</v>
      </c>
      <c r="N8" s="400">
        <f t="shared" ref="N8:N10" si="0">+I8-F8</f>
        <v>0</v>
      </c>
    </row>
    <row r="9" spans="2:14" x14ac:dyDescent="0.2">
      <c r="B9" s="127">
        <v>302</v>
      </c>
      <c r="C9" s="128" t="s">
        <v>7</v>
      </c>
      <c r="D9" s="126">
        <v>0</v>
      </c>
      <c r="E9" s="126">
        <v>0</v>
      </c>
      <c r="F9" s="126">
        <v>0</v>
      </c>
      <c r="G9" s="126">
        <v>0</v>
      </c>
      <c r="H9" s="126">
        <v>0</v>
      </c>
      <c r="I9" s="126">
        <v>0</v>
      </c>
      <c r="J9" s="126">
        <v>0</v>
      </c>
      <c r="K9" s="399">
        <v>0</v>
      </c>
      <c r="L9" s="291"/>
      <c r="M9" s="126">
        <f t="shared" ref="M9:M55" si="1">+I9-H9</f>
        <v>0</v>
      </c>
      <c r="N9" s="400">
        <f t="shared" si="0"/>
        <v>0</v>
      </c>
    </row>
    <row r="10" spans="2:14" x14ac:dyDescent="0.2">
      <c r="B10" s="127">
        <v>303</v>
      </c>
      <c r="C10" s="128" t="s">
        <v>8</v>
      </c>
      <c r="D10" s="126">
        <v>0</v>
      </c>
      <c r="E10" s="126">
        <v>0</v>
      </c>
      <c r="F10" s="126">
        <v>0</v>
      </c>
      <c r="G10" s="126">
        <v>0</v>
      </c>
      <c r="H10" s="126">
        <v>0</v>
      </c>
      <c r="I10" s="126">
        <v>0</v>
      </c>
      <c r="J10" s="126">
        <v>0</v>
      </c>
      <c r="K10" s="399">
        <v>0</v>
      </c>
      <c r="L10" s="291"/>
      <c r="M10" s="126">
        <f t="shared" si="1"/>
        <v>0</v>
      </c>
      <c r="N10" s="400">
        <f t="shared" si="0"/>
        <v>0</v>
      </c>
    </row>
    <row r="11" spans="2:14" x14ac:dyDescent="0.2">
      <c r="B11" s="127">
        <v>304</v>
      </c>
      <c r="C11" s="128" t="s">
        <v>9</v>
      </c>
      <c r="D11" s="126">
        <v>0</v>
      </c>
      <c r="E11" s="126">
        <v>0</v>
      </c>
      <c r="F11" s="126">
        <v>0</v>
      </c>
      <c r="G11" s="126">
        <v>0</v>
      </c>
      <c r="H11" s="126">
        <v>0</v>
      </c>
      <c r="I11" s="126">
        <v>0</v>
      </c>
      <c r="J11" s="126">
        <v>0</v>
      </c>
      <c r="K11" s="399">
        <v>0</v>
      </c>
      <c r="L11" s="291"/>
      <c r="M11" s="126">
        <f t="shared" si="1"/>
        <v>0</v>
      </c>
      <c r="N11" s="400">
        <f t="shared" ref="N11:N13" si="2">+I11-G11</f>
        <v>0</v>
      </c>
    </row>
    <row r="12" spans="2:14" x14ac:dyDescent="0.2">
      <c r="B12" s="127">
        <v>305</v>
      </c>
      <c r="C12" s="128" t="s">
        <v>10</v>
      </c>
      <c r="D12" s="126">
        <v>0</v>
      </c>
      <c r="E12" s="126">
        <v>0</v>
      </c>
      <c r="F12" s="126">
        <v>0</v>
      </c>
      <c r="G12" s="126">
        <v>0</v>
      </c>
      <c r="H12" s="126">
        <v>0</v>
      </c>
      <c r="I12" s="126">
        <v>0</v>
      </c>
      <c r="J12" s="126">
        <v>0</v>
      </c>
      <c r="K12" s="399">
        <v>0</v>
      </c>
      <c r="L12" s="291"/>
      <c r="M12" s="126">
        <f t="shared" si="1"/>
        <v>0</v>
      </c>
      <c r="N12" s="400">
        <f t="shared" si="2"/>
        <v>0</v>
      </c>
    </row>
    <row r="13" spans="2:14" x14ac:dyDescent="0.2">
      <c r="B13" s="127">
        <v>306</v>
      </c>
      <c r="C13" s="128" t="s">
        <v>11</v>
      </c>
      <c r="D13" s="126">
        <v>0</v>
      </c>
      <c r="E13" s="126">
        <v>0</v>
      </c>
      <c r="F13" s="126">
        <v>0</v>
      </c>
      <c r="G13" s="126">
        <v>0</v>
      </c>
      <c r="H13" s="126">
        <v>0</v>
      </c>
      <c r="I13" s="126">
        <v>0</v>
      </c>
      <c r="J13" s="126">
        <v>0</v>
      </c>
      <c r="K13" s="399">
        <v>0</v>
      </c>
      <c r="L13" s="291"/>
      <c r="M13" s="126">
        <f t="shared" si="1"/>
        <v>0</v>
      </c>
      <c r="N13" s="400">
        <f t="shared" si="2"/>
        <v>0</v>
      </c>
    </row>
    <row r="14" spans="2:14" x14ac:dyDescent="0.2">
      <c r="B14" s="127">
        <v>307</v>
      </c>
      <c r="C14" s="128" t="s">
        <v>12</v>
      </c>
      <c r="D14" s="126">
        <v>4760397575</v>
      </c>
      <c r="E14" s="126">
        <v>4959539325</v>
      </c>
      <c r="F14" s="126">
        <v>5212373876</v>
      </c>
      <c r="G14" s="126">
        <v>5305944546</v>
      </c>
      <c r="H14" s="126">
        <v>5833493119</v>
      </c>
      <c r="I14" s="126">
        <v>6362072371</v>
      </c>
      <c r="J14" s="126">
        <v>6579967438</v>
      </c>
      <c r="K14" s="399">
        <v>6797875902</v>
      </c>
      <c r="L14" s="291">
        <f t="shared" ref="L14:L58" si="3">+I14/H14*100</f>
        <v>109.06111040533139</v>
      </c>
      <c r="M14" s="126">
        <f t="shared" si="1"/>
        <v>528579252</v>
      </c>
      <c r="N14" s="400">
        <f>+I14-G14</f>
        <v>1056127825</v>
      </c>
    </row>
    <row r="15" spans="2:14" x14ac:dyDescent="0.2">
      <c r="B15" s="127">
        <v>308</v>
      </c>
      <c r="C15" s="128" t="s">
        <v>13</v>
      </c>
      <c r="D15" s="126">
        <v>0</v>
      </c>
      <c r="E15" s="126">
        <v>0</v>
      </c>
      <c r="F15" s="126">
        <v>0</v>
      </c>
      <c r="G15" s="126">
        <v>0</v>
      </c>
      <c r="H15" s="126">
        <v>0</v>
      </c>
      <c r="I15" s="126">
        <v>0</v>
      </c>
      <c r="J15" s="126">
        <v>0</v>
      </c>
      <c r="K15" s="399">
        <v>0</v>
      </c>
      <c r="L15" s="291"/>
      <c r="M15" s="126">
        <f t="shared" si="1"/>
        <v>0</v>
      </c>
      <c r="N15" s="400">
        <f t="shared" ref="N15:N55" si="4">+I15-G15</f>
        <v>0</v>
      </c>
    </row>
    <row r="16" spans="2:14" x14ac:dyDescent="0.2">
      <c r="B16" s="127">
        <v>309</v>
      </c>
      <c r="C16" s="128" t="s">
        <v>14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399">
        <v>0</v>
      </c>
      <c r="L16" s="291"/>
      <c r="M16" s="126">
        <f t="shared" si="1"/>
        <v>0</v>
      </c>
      <c r="N16" s="400">
        <f t="shared" si="4"/>
        <v>0</v>
      </c>
    </row>
    <row r="17" spans="2:14" x14ac:dyDescent="0.2">
      <c r="B17" s="127">
        <v>312</v>
      </c>
      <c r="C17" s="128" t="s">
        <v>15</v>
      </c>
      <c r="D17" s="126">
        <v>764270285</v>
      </c>
      <c r="E17" s="126">
        <v>774385691</v>
      </c>
      <c r="F17" s="126">
        <v>768307917</v>
      </c>
      <c r="G17" s="126">
        <v>769787875</v>
      </c>
      <c r="H17" s="126">
        <v>860391785</v>
      </c>
      <c r="I17" s="126">
        <v>860941557</v>
      </c>
      <c r="J17" s="126">
        <v>860941557</v>
      </c>
      <c r="K17" s="399">
        <v>860941557</v>
      </c>
      <c r="L17" s="291">
        <f t="shared" si="3"/>
        <v>100.06389786717919</v>
      </c>
      <c r="M17" s="126">
        <f t="shared" si="1"/>
        <v>549772</v>
      </c>
      <c r="N17" s="400">
        <f t="shared" si="4"/>
        <v>91153682</v>
      </c>
    </row>
    <row r="18" spans="2:14" x14ac:dyDescent="0.2">
      <c r="B18" s="127">
        <v>313</v>
      </c>
      <c r="C18" s="128" t="s">
        <v>16</v>
      </c>
      <c r="D18" s="126">
        <v>536146883022.04999</v>
      </c>
      <c r="E18" s="126">
        <v>524211139749.67999</v>
      </c>
      <c r="F18" s="126">
        <v>578668442353.62</v>
      </c>
      <c r="G18" s="126">
        <v>620799651735.62</v>
      </c>
      <c r="H18" s="126">
        <v>669489650065</v>
      </c>
      <c r="I18" s="126">
        <v>720089838832</v>
      </c>
      <c r="J18" s="126">
        <v>757396155418</v>
      </c>
      <c r="K18" s="399">
        <v>795724376756</v>
      </c>
      <c r="L18" s="291">
        <f t="shared" si="3"/>
        <v>107.55802405042219</v>
      </c>
      <c r="M18" s="126">
        <f t="shared" si="1"/>
        <v>50600188767</v>
      </c>
      <c r="N18" s="400">
        <f t="shared" si="4"/>
        <v>99290187096.380005</v>
      </c>
    </row>
    <row r="19" spans="2:14" x14ac:dyDescent="0.2">
      <c r="B19" s="127">
        <v>314</v>
      </c>
      <c r="C19" s="128" t="s">
        <v>17</v>
      </c>
      <c r="D19" s="126">
        <v>8737769847</v>
      </c>
      <c r="E19" s="126">
        <v>9252334257.8400002</v>
      </c>
      <c r="F19" s="126">
        <v>9495535297</v>
      </c>
      <c r="G19" s="126">
        <v>9492247731.0200005</v>
      </c>
      <c r="H19" s="126">
        <v>10613613627</v>
      </c>
      <c r="I19" s="126">
        <v>10811983434</v>
      </c>
      <c r="J19" s="126">
        <v>10811983434</v>
      </c>
      <c r="K19" s="399">
        <v>10811983434</v>
      </c>
      <c r="L19" s="291">
        <f t="shared" si="3"/>
        <v>101.86901289204053</v>
      </c>
      <c r="M19" s="126">
        <f t="shared" si="1"/>
        <v>198369807</v>
      </c>
      <c r="N19" s="400">
        <f t="shared" si="4"/>
        <v>1319735702.9799995</v>
      </c>
    </row>
    <row r="20" spans="2:14" x14ac:dyDescent="0.2">
      <c r="B20" s="127">
        <v>315</v>
      </c>
      <c r="C20" s="128" t="s">
        <v>18</v>
      </c>
      <c r="D20" s="129">
        <v>0</v>
      </c>
      <c r="E20" s="129">
        <v>0</v>
      </c>
      <c r="F20" s="129">
        <v>0</v>
      </c>
      <c r="G20" s="126">
        <v>0</v>
      </c>
      <c r="H20" s="126">
        <v>0</v>
      </c>
      <c r="I20" s="126">
        <v>0</v>
      </c>
      <c r="J20" s="126">
        <v>0</v>
      </c>
      <c r="K20" s="399">
        <v>0</v>
      </c>
      <c r="L20" s="291"/>
      <c r="M20" s="126">
        <f t="shared" si="1"/>
        <v>0</v>
      </c>
      <c r="N20" s="400">
        <f t="shared" si="4"/>
        <v>0</v>
      </c>
    </row>
    <row r="21" spans="2:14" x14ac:dyDescent="0.2">
      <c r="B21" s="127">
        <v>317</v>
      </c>
      <c r="C21" s="128" t="s">
        <v>19</v>
      </c>
      <c r="D21" s="129">
        <v>0</v>
      </c>
      <c r="E21" s="129">
        <v>0</v>
      </c>
      <c r="F21" s="129">
        <v>0</v>
      </c>
      <c r="G21" s="126">
        <v>0</v>
      </c>
      <c r="H21" s="126">
        <v>0</v>
      </c>
      <c r="I21" s="126">
        <v>0</v>
      </c>
      <c r="J21" s="126">
        <v>0</v>
      </c>
      <c r="K21" s="399">
        <v>0</v>
      </c>
      <c r="L21" s="291"/>
      <c r="M21" s="126">
        <f t="shared" si="1"/>
        <v>0</v>
      </c>
      <c r="N21" s="400">
        <f t="shared" si="4"/>
        <v>0</v>
      </c>
    </row>
    <row r="22" spans="2:14" x14ac:dyDescent="0.2">
      <c r="B22" s="127">
        <v>321</v>
      </c>
      <c r="C22" s="128" t="s">
        <v>20</v>
      </c>
      <c r="D22" s="129">
        <v>0</v>
      </c>
      <c r="E22" s="129">
        <v>0</v>
      </c>
      <c r="F22" s="129">
        <v>0</v>
      </c>
      <c r="G22" s="126">
        <v>0</v>
      </c>
      <c r="H22" s="126">
        <v>0</v>
      </c>
      <c r="I22" s="126">
        <v>0</v>
      </c>
      <c r="J22" s="126">
        <v>0</v>
      </c>
      <c r="K22" s="399">
        <v>0</v>
      </c>
      <c r="L22" s="291"/>
      <c r="M22" s="126">
        <f t="shared" si="1"/>
        <v>0</v>
      </c>
      <c r="N22" s="400">
        <f t="shared" si="4"/>
        <v>0</v>
      </c>
    </row>
    <row r="23" spans="2:14" x14ac:dyDescent="0.2">
      <c r="B23" s="127">
        <v>322</v>
      </c>
      <c r="C23" s="128" t="s">
        <v>21</v>
      </c>
      <c r="D23" s="129">
        <v>0</v>
      </c>
      <c r="E23" s="129">
        <v>0</v>
      </c>
      <c r="F23" s="129">
        <v>0</v>
      </c>
      <c r="G23" s="126">
        <v>0</v>
      </c>
      <c r="H23" s="126">
        <v>0</v>
      </c>
      <c r="I23" s="126">
        <v>0</v>
      </c>
      <c r="J23" s="126">
        <v>0</v>
      </c>
      <c r="K23" s="399">
        <v>0</v>
      </c>
      <c r="L23" s="291"/>
      <c r="M23" s="126">
        <f t="shared" si="1"/>
        <v>0</v>
      </c>
      <c r="N23" s="400">
        <f t="shared" si="4"/>
        <v>0</v>
      </c>
    </row>
    <row r="24" spans="2:14" x14ac:dyDescent="0.2">
      <c r="B24" s="127">
        <v>327</v>
      </c>
      <c r="C24" s="128" t="s">
        <v>22</v>
      </c>
      <c r="D24" s="129">
        <v>0</v>
      </c>
      <c r="E24" s="129">
        <v>0</v>
      </c>
      <c r="F24" s="129">
        <v>0</v>
      </c>
      <c r="G24" s="126">
        <v>0</v>
      </c>
      <c r="H24" s="126">
        <v>0</v>
      </c>
      <c r="I24" s="126">
        <v>0</v>
      </c>
      <c r="J24" s="126">
        <v>0</v>
      </c>
      <c r="K24" s="399">
        <v>0</v>
      </c>
      <c r="L24" s="291"/>
      <c r="M24" s="126">
        <f t="shared" si="1"/>
        <v>0</v>
      </c>
      <c r="N24" s="400">
        <f t="shared" si="4"/>
        <v>0</v>
      </c>
    </row>
    <row r="25" spans="2:14" x14ac:dyDescent="0.2">
      <c r="B25" s="127">
        <v>328</v>
      </c>
      <c r="C25" s="128" t="s">
        <v>23</v>
      </c>
      <c r="D25" s="129">
        <v>0</v>
      </c>
      <c r="E25" s="129">
        <v>0</v>
      </c>
      <c r="F25" s="129">
        <v>0</v>
      </c>
      <c r="G25" s="126">
        <v>0</v>
      </c>
      <c r="H25" s="126">
        <v>0</v>
      </c>
      <c r="I25" s="126">
        <v>0</v>
      </c>
      <c r="J25" s="126">
        <v>0</v>
      </c>
      <c r="K25" s="399">
        <v>0</v>
      </c>
      <c r="L25" s="291"/>
      <c r="M25" s="126">
        <f t="shared" si="1"/>
        <v>0</v>
      </c>
      <c r="N25" s="400">
        <f t="shared" si="4"/>
        <v>0</v>
      </c>
    </row>
    <row r="26" spans="2:14" x14ac:dyDescent="0.2">
      <c r="B26" s="127">
        <v>329</v>
      </c>
      <c r="C26" s="128" t="s">
        <v>24</v>
      </c>
      <c r="D26" s="129">
        <v>0</v>
      </c>
      <c r="E26" s="129">
        <v>0</v>
      </c>
      <c r="F26" s="129">
        <v>0</v>
      </c>
      <c r="G26" s="126">
        <v>0</v>
      </c>
      <c r="H26" s="126">
        <v>0</v>
      </c>
      <c r="I26" s="126">
        <v>0</v>
      </c>
      <c r="J26" s="126">
        <v>0</v>
      </c>
      <c r="K26" s="399">
        <v>0</v>
      </c>
      <c r="L26" s="291"/>
      <c r="M26" s="126">
        <f t="shared" si="1"/>
        <v>0</v>
      </c>
      <c r="N26" s="400">
        <f t="shared" si="4"/>
        <v>0</v>
      </c>
    </row>
    <row r="27" spans="2:14" x14ac:dyDescent="0.2">
      <c r="B27" s="127">
        <v>333</v>
      </c>
      <c r="C27" s="128" t="s">
        <v>25</v>
      </c>
      <c r="D27" s="129">
        <v>0</v>
      </c>
      <c r="E27" s="129">
        <v>0</v>
      </c>
      <c r="F27" s="129">
        <v>0</v>
      </c>
      <c r="G27" s="126">
        <v>0</v>
      </c>
      <c r="H27" s="126">
        <v>0</v>
      </c>
      <c r="I27" s="126">
        <v>0</v>
      </c>
      <c r="J27" s="126">
        <v>0</v>
      </c>
      <c r="K27" s="399">
        <v>0</v>
      </c>
      <c r="L27" s="291"/>
      <c r="M27" s="126">
        <f t="shared" si="1"/>
        <v>0</v>
      </c>
      <c r="N27" s="400">
        <f t="shared" si="4"/>
        <v>0</v>
      </c>
    </row>
    <row r="28" spans="2:14" x14ac:dyDescent="0.2">
      <c r="B28" s="127">
        <v>334</v>
      </c>
      <c r="C28" s="128" t="s">
        <v>26</v>
      </c>
      <c r="D28" s="129">
        <v>0</v>
      </c>
      <c r="E28" s="129">
        <v>0</v>
      </c>
      <c r="F28" s="129">
        <v>0</v>
      </c>
      <c r="G28" s="126">
        <v>0</v>
      </c>
      <c r="H28" s="126">
        <v>0</v>
      </c>
      <c r="I28" s="126">
        <v>0</v>
      </c>
      <c r="J28" s="126">
        <v>0</v>
      </c>
      <c r="K28" s="399">
        <v>0</v>
      </c>
      <c r="L28" s="291"/>
      <c r="M28" s="126">
        <f t="shared" si="1"/>
        <v>0</v>
      </c>
      <c r="N28" s="400">
        <f t="shared" si="4"/>
        <v>0</v>
      </c>
    </row>
    <row r="29" spans="2:14" x14ac:dyDescent="0.2">
      <c r="B29" s="127">
        <v>335</v>
      </c>
      <c r="C29" s="128" t="s">
        <v>27</v>
      </c>
      <c r="D29" s="129">
        <v>0</v>
      </c>
      <c r="E29" s="129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399">
        <v>0</v>
      </c>
      <c r="L29" s="291"/>
      <c r="M29" s="126">
        <f t="shared" si="1"/>
        <v>0</v>
      </c>
      <c r="N29" s="400">
        <f t="shared" si="4"/>
        <v>0</v>
      </c>
    </row>
    <row r="30" spans="2:14" x14ac:dyDescent="0.2">
      <c r="B30" s="127">
        <v>336</v>
      </c>
      <c r="C30" s="128" t="s">
        <v>28</v>
      </c>
      <c r="D30" s="129">
        <v>1234501042</v>
      </c>
      <c r="E30" s="129">
        <v>1257355140</v>
      </c>
      <c r="F30" s="129">
        <v>1282445036</v>
      </c>
      <c r="G30" s="126">
        <v>1247043223</v>
      </c>
      <c r="H30" s="126">
        <v>1428625560</v>
      </c>
      <c r="I30" s="126">
        <v>1452925560</v>
      </c>
      <c r="J30" s="126">
        <v>1452925560</v>
      </c>
      <c r="K30" s="399">
        <v>1452925560</v>
      </c>
      <c r="L30" s="291">
        <f t="shared" si="3"/>
        <v>101.70093554815021</v>
      </c>
      <c r="M30" s="126">
        <f t="shared" si="1"/>
        <v>24300000</v>
      </c>
      <c r="N30" s="400">
        <f t="shared" si="4"/>
        <v>205882337</v>
      </c>
    </row>
    <row r="31" spans="2:14" x14ac:dyDescent="0.2">
      <c r="B31" s="127">
        <v>343</v>
      </c>
      <c r="C31" s="128" t="s">
        <v>29</v>
      </c>
      <c r="D31" s="129">
        <v>0</v>
      </c>
      <c r="E31" s="129">
        <v>0</v>
      </c>
      <c r="F31" s="129">
        <v>0</v>
      </c>
      <c r="G31" s="126">
        <v>0</v>
      </c>
      <c r="H31" s="126">
        <v>0</v>
      </c>
      <c r="I31" s="126">
        <v>0</v>
      </c>
      <c r="J31" s="126">
        <v>0</v>
      </c>
      <c r="K31" s="399">
        <v>0</v>
      </c>
      <c r="L31" s="291"/>
      <c r="M31" s="126">
        <f t="shared" si="1"/>
        <v>0</v>
      </c>
      <c r="N31" s="400">
        <f t="shared" si="4"/>
        <v>0</v>
      </c>
    </row>
    <row r="32" spans="2:14" x14ac:dyDescent="0.2">
      <c r="B32" s="127">
        <v>344</v>
      </c>
      <c r="C32" s="128" t="s">
        <v>30</v>
      </c>
      <c r="D32" s="129">
        <v>0</v>
      </c>
      <c r="E32" s="129">
        <v>0</v>
      </c>
      <c r="F32" s="129">
        <v>0</v>
      </c>
      <c r="G32" s="126">
        <v>0</v>
      </c>
      <c r="H32" s="126">
        <v>0</v>
      </c>
      <c r="I32" s="126">
        <v>0</v>
      </c>
      <c r="J32" s="126">
        <v>0</v>
      </c>
      <c r="K32" s="399">
        <v>0</v>
      </c>
      <c r="L32" s="291"/>
      <c r="M32" s="126">
        <f t="shared" si="1"/>
        <v>0</v>
      </c>
      <c r="N32" s="400">
        <f t="shared" si="4"/>
        <v>0</v>
      </c>
    </row>
    <row r="33" spans="2:14" x14ac:dyDescent="0.2">
      <c r="B33" s="127">
        <v>345</v>
      </c>
      <c r="C33" s="128" t="s">
        <v>31</v>
      </c>
      <c r="D33" s="129">
        <v>0</v>
      </c>
      <c r="E33" s="129">
        <v>0</v>
      </c>
      <c r="F33" s="129">
        <v>0</v>
      </c>
      <c r="G33" s="126">
        <v>0</v>
      </c>
      <c r="H33" s="126">
        <v>0</v>
      </c>
      <c r="I33" s="126">
        <v>0</v>
      </c>
      <c r="J33" s="126">
        <v>0</v>
      </c>
      <c r="K33" s="399">
        <v>0</v>
      </c>
      <c r="L33" s="291"/>
      <c r="M33" s="126">
        <f t="shared" si="1"/>
        <v>0</v>
      </c>
      <c r="N33" s="400">
        <f t="shared" si="4"/>
        <v>0</v>
      </c>
    </row>
    <row r="34" spans="2:14" x14ac:dyDescent="0.2">
      <c r="B34" s="127">
        <v>346</v>
      </c>
      <c r="C34" s="128" t="s">
        <v>32</v>
      </c>
      <c r="D34" s="129">
        <v>0</v>
      </c>
      <c r="E34" s="129">
        <v>0</v>
      </c>
      <c r="F34" s="129">
        <v>0</v>
      </c>
      <c r="G34" s="126">
        <v>0</v>
      </c>
      <c r="H34" s="126">
        <v>0</v>
      </c>
      <c r="I34" s="126">
        <v>0</v>
      </c>
      <c r="J34" s="126">
        <v>0</v>
      </c>
      <c r="K34" s="399">
        <v>0</v>
      </c>
      <c r="L34" s="291"/>
      <c r="M34" s="126">
        <f t="shared" si="1"/>
        <v>0</v>
      </c>
      <c r="N34" s="400">
        <f t="shared" si="4"/>
        <v>0</v>
      </c>
    </row>
    <row r="35" spans="2:14" x14ac:dyDescent="0.2">
      <c r="B35" s="127">
        <v>348</v>
      </c>
      <c r="C35" s="128" t="s">
        <v>33</v>
      </c>
      <c r="D35" s="129">
        <v>0</v>
      </c>
      <c r="E35" s="129">
        <v>0</v>
      </c>
      <c r="F35" s="129">
        <v>0</v>
      </c>
      <c r="G35" s="126">
        <v>0</v>
      </c>
      <c r="H35" s="126">
        <v>0</v>
      </c>
      <c r="I35" s="126">
        <v>0</v>
      </c>
      <c r="J35" s="126">
        <v>0</v>
      </c>
      <c r="K35" s="399">
        <v>0</v>
      </c>
      <c r="L35" s="291"/>
      <c r="M35" s="126">
        <f t="shared" si="1"/>
        <v>0</v>
      </c>
      <c r="N35" s="400">
        <f t="shared" si="4"/>
        <v>0</v>
      </c>
    </row>
    <row r="36" spans="2:14" x14ac:dyDescent="0.2">
      <c r="B36" s="127">
        <v>349</v>
      </c>
      <c r="C36" s="128" t="s">
        <v>34</v>
      </c>
      <c r="D36" s="129">
        <v>0</v>
      </c>
      <c r="E36" s="129">
        <v>0</v>
      </c>
      <c r="F36" s="129">
        <v>0</v>
      </c>
      <c r="G36" s="126">
        <v>0</v>
      </c>
      <c r="H36" s="126">
        <v>0</v>
      </c>
      <c r="I36" s="126">
        <v>0</v>
      </c>
      <c r="J36" s="126">
        <v>0</v>
      </c>
      <c r="K36" s="399">
        <v>0</v>
      </c>
      <c r="L36" s="291"/>
      <c r="M36" s="126">
        <f t="shared" si="1"/>
        <v>0</v>
      </c>
      <c r="N36" s="400">
        <f t="shared" si="4"/>
        <v>0</v>
      </c>
    </row>
    <row r="37" spans="2:14" x14ac:dyDescent="0.2">
      <c r="B37" s="127">
        <v>353</v>
      </c>
      <c r="C37" s="128" t="s">
        <v>35</v>
      </c>
      <c r="D37" s="129">
        <v>0</v>
      </c>
      <c r="E37" s="129">
        <v>0</v>
      </c>
      <c r="F37" s="129">
        <v>0</v>
      </c>
      <c r="G37" s="126">
        <v>0</v>
      </c>
      <c r="H37" s="126">
        <v>0</v>
      </c>
      <c r="I37" s="126">
        <v>0</v>
      </c>
      <c r="J37" s="126">
        <v>0</v>
      </c>
      <c r="K37" s="399">
        <v>0</v>
      </c>
      <c r="L37" s="291"/>
      <c r="M37" s="126">
        <f t="shared" si="1"/>
        <v>0</v>
      </c>
      <c r="N37" s="400">
        <f t="shared" si="4"/>
        <v>0</v>
      </c>
    </row>
    <row r="38" spans="2:14" x14ac:dyDescent="0.2">
      <c r="B38" s="127">
        <v>355</v>
      </c>
      <c r="C38" s="128" t="s">
        <v>36</v>
      </c>
      <c r="D38" s="129">
        <v>0</v>
      </c>
      <c r="E38" s="129">
        <v>0</v>
      </c>
      <c r="F38" s="129">
        <v>0</v>
      </c>
      <c r="G38" s="126">
        <v>0</v>
      </c>
      <c r="H38" s="126">
        <v>0</v>
      </c>
      <c r="I38" s="126">
        <v>0</v>
      </c>
      <c r="J38" s="126">
        <v>0</v>
      </c>
      <c r="K38" s="399">
        <v>0</v>
      </c>
      <c r="L38" s="291"/>
      <c r="M38" s="126">
        <f t="shared" si="1"/>
        <v>0</v>
      </c>
      <c r="N38" s="400">
        <f t="shared" si="4"/>
        <v>0</v>
      </c>
    </row>
    <row r="39" spans="2:14" x14ac:dyDescent="0.2">
      <c r="B39" s="127">
        <v>358</v>
      </c>
      <c r="C39" s="128" t="s">
        <v>37</v>
      </c>
      <c r="D39" s="129">
        <v>0</v>
      </c>
      <c r="E39" s="129">
        <v>0</v>
      </c>
      <c r="F39" s="129">
        <v>0</v>
      </c>
      <c r="G39" s="126">
        <v>0</v>
      </c>
      <c r="H39" s="126">
        <v>0</v>
      </c>
      <c r="I39" s="126">
        <v>0</v>
      </c>
      <c r="J39" s="126">
        <v>0</v>
      </c>
      <c r="K39" s="399">
        <v>0</v>
      </c>
      <c r="L39" s="291"/>
      <c r="M39" s="126">
        <f t="shared" si="1"/>
        <v>0</v>
      </c>
      <c r="N39" s="400">
        <f t="shared" si="4"/>
        <v>0</v>
      </c>
    </row>
    <row r="40" spans="2:14" x14ac:dyDescent="0.2">
      <c r="B40" s="127">
        <v>359</v>
      </c>
      <c r="C40" s="128" t="s">
        <v>38</v>
      </c>
      <c r="D40" s="129">
        <v>0</v>
      </c>
      <c r="E40" s="129">
        <v>0</v>
      </c>
      <c r="F40" s="129">
        <v>0</v>
      </c>
      <c r="G40" s="126">
        <v>0</v>
      </c>
      <c r="H40" s="126">
        <v>0</v>
      </c>
      <c r="I40" s="126">
        <v>0</v>
      </c>
      <c r="J40" s="126">
        <v>0</v>
      </c>
      <c r="K40" s="399">
        <v>0</v>
      </c>
      <c r="L40" s="291"/>
      <c r="M40" s="126">
        <f t="shared" si="1"/>
        <v>0</v>
      </c>
      <c r="N40" s="400">
        <f t="shared" si="4"/>
        <v>0</v>
      </c>
    </row>
    <row r="41" spans="2:14" x14ac:dyDescent="0.2">
      <c r="B41" s="127">
        <v>361</v>
      </c>
      <c r="C41" s="128" t="s">
        <v>39</v>
      </c>
      <c r="D41" s="129">
        <v>0</v>
      </c>
      <c r="E41" s="129">
        <v>0</v>
      </c>
      <c r="F41" s="129">
        <v>0</v>
      </c>
      <c r="G41" s="126">
        <v>0</v>
      </c>
      <c r="H41" s="126">
        <v>0</v>
      </c>
      <c r="I41" s="126">
        <v>0</v>
      </c>
      <c r="J41" s="126">
        <v>0</v>
      </c>
      <c r="K41" s="399">
        <v>0</v>
      </c>
      <c r="L41" s="291"/>
      <c r="M41" s="126">
        <f t="shared" si="1"/>
        <v>0</v>
      </c>
      <c r="N41" s="400">
        <f t="shared" si="4"/>
        <v>0</v>
      </c>
    </row>
    <row r="42" spans="2:14" x14ac:dyDescent="0.2">
      <c r="B42" s="127">
        <v>362</v>
      </c>
      <c r="C42" s="128" t="s">
        <v>40</v>
      </c>
      <c r="D42" s="126">
        <v>0</v>
      </c>
      <c r="E42" s="126">
        <v>0</v>
      </c>
      <c r="F42" s="126">
        <v>0</v>
      </c>
      <c r="G42" s="126">
        <v>0</v>
      </c>
      <c r="H42" s="126">
        <v>0</v>
      </c>
      <c r="I42" s="126">
        <v>0</v>
      </c>
      <c r="J42" s="126">
        <v>0</v>
      </c>
      <c r="K42" s="399">
        <v>0</v>
      </c>
      <c r="L42" s="291"/>
      <c r="M42" s="126">
        <f t="shared" si="1"/>
        <v>0</v>
      </c>
      <c r="N42" s="400">
        <f t="shared" si="4"/>
        <v>0</v>
      </c>
    </row>
    <row r="43" spans="2:14" x14ac:dyDescent="0.2">
      <c r="B43" s="127">
        <v>364</v>
      </c>
      <c r="C43" s="128" t="s">
        <v>385</v>
      </c>
      <c r="D43" s="126">
        <v>0</v>
      </c>
      <c r="E43" s="126">
        <v>0</v>
      </c>
      <c r="F43" s="126">
        <v>0</v>
      </c>
      <c r="G43" s="126">
        <v>0</v>
      </c>
      <c r="H43" s="126">
        <v>0</v>
      </c>
      <c r="I43" s="126">
        <v>0</v>
      </c>
      <c r="J43" s="126">
        <v>0</v>
      </c>
      <c r="K43" s="399">
        <v>0</v>
      </c>
      <c r="L43" s="291"/>
      <c r="M43" s="126">
        <f t="shared" si="1"/>
        <v>0</v>
      </c>
      <c r="N43" s="400">
        <f t="shared" si="4"/>
        <v>0</v>
      </c>
    </row>
    <row r="44" spans="2:14" ht="25.5" x14ac:dyDescent="0.2">
      <c r="B44" s="127">
        <v>371</v>
      </c>
      <c r="C44" s="131" t="s">
        <v>41</v>
      </c>
      <c r="D44" s="126">
        <v>0</v>
      </c>
      <c r="E44" s="126">
        <v>0</v>
      </c>
      <c r="F44" s="126">
        <v>0</v>
      </c>
      <c r="G44" s="126">
        <v>0</v>
      </c>
      <c r="H44" s="126">
        <v>0</v>
      </c>
      <c r="I44" s="126">
        <v>0</v>
      </c>
      <c r="J44" s="126">
        <v>0</v>
      </c>
      <c r="K44" s="399">
        <v>0</v>
      </c>
      <c r="L44" s="291"/>
      <c r="M44" s="126">
        <f t="shared" si="1"/>
        <v>0</v>
      </c>
      <c r="N44" s="400">
        <f t="shared" si="4"/>
        <v>0</v>
      </c>
    </row>
    <row r="45" spans="2:14" x14ac:dyDescent="0.2">
      <c r="B45" s="127">
        <v>372</v>
      </c>
      <c r="C45" s="128" t="s">
        <v>42</v>
      </c>
      <c r="D45" s="126">
        <v>0</v>
      </c>
      <c r="E45" s="126">
        <v>0</v>
      </c>
      <c r="F45" s="126">
        <v>0</v>
      </c>
      <c r="G45" s="126">
        <v>0</v>
      </c>
      <c r="H45" s="126">
        <v>0</v>
      </c>
      <c r="I45" s="126">
        <v>0</v>
      </c>
      <c r="J45" s="126">
        <v>0</v>
      </c>
      <c r="K45" s="399">
        <v>0</v>
      </c>
      <c r="L45" s="291"/>
      <c r="M45" s="126">
        <f t="shared" si="1"/>
        <v>0</v>
      </c>
      <c r="N45" s="400">
        <f t="shared" si="4"/>
        <v>0</v>
      </c>
    </row>
    <row r="46" spans="2:14" x14ac:dyDescent="0.2">
      <c r="B46" s="127">
        <v>373</v>
      </c>
      <c r="C46" s="128" t="s">
        <v>43</v>
      </c>
      <c r="D46" s="126">
        <v>0</v>
      </c>
      <c r="E46" s="126">
        <v>0</v>
      </c>
      <c r="F46" s="126">
        <v>0</v>
      </c>
      <c r="G46" s="126">
        <v>0</v>
      </c>
      <c r="H46" s="126">
        <v>0</v>
      </c>
      <c r="I46" s="126">
        <v>0</v>
      </c>
      <c r="J46" s="126">
        <v>0</v>
      </c>
      <c r="K46" s="399">
        <v>0</v>
      </c>
      <c r="L46" s="291"/>
      <c r="M46" s="126">
        <f t="shared" si="1"/>
        <v>0</v>
      </c>
      <c r="N46" s="400">
        <f t="shared" si="4"/>
        <v>0</v>
      </c>
    </row>
    <row r="47" spans="2:14" x14ac:dyDescent="0.2">
      <c r="B47" s="127">
        <v>374</v>
      </c>
      <c r="C47" s="128" t="s">
        <v>44</v>
      </c>
      <c r="D47" s="126">
        <v>0</v>
      </c>
      <c r="E47" s="126">
        <v>0</v>
      </c>
      <c r="F47" s="126">
        <v>0</v>
      </c>
      <c r="G47" s="126">
        <v>0</v>
      </c>
      <c r="H47" s="126">
        <v>0</v>
      </c>
      <c r="I47" s="126">
        <v>0</v>
      </c>
      <c r="J47" s="126">
        <v>0</v>
      </c>
      <c r="K47" s="399">
        <v>0</v>
      </c>
      <c r="L47" s="291"/>
      <c r="M47" s="126">
        <f t="shared" si="1"/>
        <v>0</v>
      </c>
      <c r="N47" s="400">
        <f t="shared" si="4"/>
        <v>0</v>
      </c>
    </row>
    <row r="48" spans="2:14" x14ac:dyDescent="0.2">
      <c r="B48" s="127">
        <v>375</v>
      </c>
      <c r="C48" s="128" t="s">
        <v>45</v>
      </c>
      <c r="D48" s="126">
        <v>0</v>
      </c>
      <c r="E48" s="126">
        <v>0</v>
      </c>
      <c r="F48" s="126">
        <v>0</v>
      </c>
      <c r="G48" s="126">
        <v>0</v>
      </c>
      <c r="H48" s="126">
        <v>0</v>
      </c>
      <c r="I48" s="126">
        <v>0</v>
      </c>
      <c r="J48" s="126">
        <v>0</v>
      </c>
      <c r="K48" s="399">
        <v>0</v>
      </c>
      <c r="L48" s="291"/>
      <c r="M48" s="126">
        <f t="shared" si="1"/>
        <v>0</v>
      </c>
      <c r="N48" s="400">
        <f t="shared" si="4"/>
        <v>0</v>
      </c>
    </row>
    <row r="49" spans="2:14" x14ac:dyDescent="0.2">
      <c r="B49" s="127">
        <v>376</v>
      </c>
      <c r="C49" s="128" t="s">
        <v>46</v>
      </c>
      <c r="D49" s="126">
        <v>66488755</v>
      </c>
      <c r="E49" s="126">
        <v>68357215</v>
      </c>
      <c r="F49" s="126">
        <v>66741099</v>
      </c>
      <c r="G49" s="126">
        <v>66274825</v>
      </c>
      <c r="H49" s="126">
        <v>78638436</v>
      </c>
      <c r="I49" s="126">
        <v>80105952</v>
      </c>
      <c r="J49" s="126">
        <v>80105952</v>
      </c>
      <c r="K49" s="399">
        <v>80105952</v>
      </c>
      <c r="L49" s="291">
        <f t="shared" si="3"/>
        <v>101.86615613769328</v>
      </c>
      <c r="M49" s="126">
        <f t="shared" si="1"/>
        <v>1467516</v>
      </c>
      <c r="N49" s="400">
        <f t="shared" si="4"/>
        <v>13831127</v>
      </c>
    </row>
    <row r="50" spans="2:14" x14ac:dyDescent="0.2">
      <c r="B50" s="127">
        <v>377</v>
      </c>
      <c r="C50" s="128" t="s">
        <v>47</v>
      </c>
      <c r="D50" s="126">
        <v>0</v>
      </c>
      <c r="E50" s="126">
        <v>0</v>
      </c>
      <c r="F50" s="126">
        <v>0</v>
      </c>
      <c r="G50" s="126">
        <v>0</v>
      </c>
      <c r="H50" s="126">
        <v>0</v>
      </c>
      <c r="I50" s="126">
        <v>0</v>
      </c>
      <c r="J50" s="126">
        <v>0</v>
      </c>
      <c r="K50" s="399">
        <v>0</v>
      </c>
      <c r="L50" s="291"/>
      <c r="M50" s="126">
        <f t="shared" si="1"/>
        <v>0</v>
      </c>
      <c r="N50" s="400">
        <f t="shared" si="4"/>
        <v>0</v>
      </c>
    </row>
    <row r="51" spans="2:14" ht="25.5" x14ac:dyDescent="0.2">
      <c r="B51" s="127">
        <v>378</v>
      </c>
      <c r="C51" s="131" t="s">
        <v>48</v>
      </c>
      <c r="D51" s="126">
        <v>0</v>
      </c>
      <c r="E51" s="126">
        <v>0</v>
      </c>
      <c r="F51" s="126">
        <v>0</v>
      </c>
      <c r="G51" s="126">
        <v>0</v>
      </c>
      <c r="H51" s="126">
        <v>0</v>
      </c>
      <c r="I51" s="126">
        <v>0</v>
      </c>
      <c r="J51" s="126">
        <v>0</v>
      </c>
      <c r="K51" s="399">
        <v>0</v>
      </c>
      <c r="L51" s="291"/>
      <c r="M51" s="126">
        <f t="shared" si="1"/>
        <v>0</v>
      </c>
      <c r="N51" s="400">
        <f t="shared" si="4"/>
        <v>0</v>
      </c>
    </row>
    <row r="52" spans="2:14" x14ac:dyDescent="0.2">
      <c r="B52" s="127">
        <v>381</v>
      </c>
      <c r="C52" s="128" t="s">
        <v>49</v>
      </c>
      <c r="D52" s="126">
        <v>0</v>
      </c>
      <c r="E52" s="126">
        <v>0</v>
      </c>
      <c r="F52" s="126">
        <v>0</v>
      </c>
      <c r="G52" s="126">
        <v>0</v>
      </c>
      <c r="H52" s="126">
        <v>0</v>
      </c>
      <c r="I52" s="126">
        <v>0</v>
      </c>
      <c r="J52" s="126">
        <v>0</v>
      </c>
      <c r="K52" s="399">
        <v>0</v>
      </c>
      <c r="L52" s="291"/>
      <c r="M52" s="126">
        <f t="shared" si="1"/>
        <v>0</v>
      </c>
      <c r="N52" s="400">
        <f t="shared" si="4"/>
        <v>0</v>
      </c>
    </row>
    <row r="53" spans="2:14" x14ac:dyDescent="0.2">
      <c r="B53" s="127">
        <v>396</v>
      </c>
      <c r="C53" s="128" t="s">
        <v>50</v>
      </c>
      <c r="D53" s="126">
        <v>0</v>
      </c>
      <c r="E53" s="126">
        <v>0</v>
      </c>
      <c r="F53" s="126">
        <v>0</v>
      </c>
      <c r="G53" s="126">
        <v>0</v>
      </c>
      <c r="H53" s="126">
        <v>0</v>
      </c>
      <c r="I53" s="126">
        <v>0</v>
      </c>
      <c r="J53" s="126">
        <v>0</v>
      </c>
      <c r="K53" s="399">
        <v>0</v>
      </c>
      <c r="L53" s="291"/>
      <c r="M53" s="126">
        <f t="shared" si="1"/>
        <v>0</v>
      </c>
      <c r="N53" s="400">
        <f t="shared" si="4"/>
        <v>0</v>
      </c>
    </row>
    <row r="54" spans="2:14" x14ac:dyDescent="0.2">
      <c r="B54" s="127">
        <v>397</v>
      </c>
      <c r="C54" s="128" t="s">
        <v>51</v>
      </c>
      <c r="D54" s="126">
        <v>0</v>
      </c>
      <c r="E54" s="126">
        <v>0</v>
      </c>
      <c r="F54" s="126">
        <v>0</v>
      </c>
      <c r="G54" s="126">
        <v>0</v>
      </c>
      <c r="H54" s="126">
        <v>0</v>
      </c>
      <c r="I54" s="126">
        <v>0</v>
      </c>
      <c r="J54" s="126">
        <v>0</v>
      </c>
      <c r="K54" s="399">
        <v>0</v>
      </c>
      <c r="L54" s="291"/>
      <c r="M54" s="126">
        <f t="shared" si="1"/>
        <v>0</v>
      </c>
      <c r="N54" s="400">
        <f t="shared" si="4"/>
        <v>0</v>
      </c>
    </row>
    <row r="55" spans="2:14" x14ac:dyDescent="0.2">
      <c r="B55" s="127">
        <v>398</v>
      </c>
      <c r="C55" s="128" t="s">
        <v>52</v>
      </c>
      <c r="D55" s="126">
        <v>0</v>
      </c>
      <c r="E55" s="126">
        <v>0</v>
      </c>
      <c r="F55" s="126">
        <v>0</v>
      </c>
      <c r="G55" s="126">
        <v>0</v>
      </c>
      <c r="H55" s="126">
        <v>0</v>
      </c>
      <c r="I55" s="126">
        <v>0</v>
      </c>
      <c r="J55" s="126">
        <v>0</v>
      </c>
      <c r="K55" s="399">
        <v>0</v>
      </c>
      <c r="L55" s="291"/>
      <c r="M55" s="126">
        <f t="shared" si="1"/>
        <v>0</v>
      </c>
      <c r="N55" s="400">
        <f t="shared" si="4"/>
        <v>0</v>
      </c>
    </row>
    <row r="56" spans="2:14" x14ac:dyDescent="0.2">
      <c r="B56" s="132"/>
      <c r="C56" s="133"/>
      <c r="D56" s="134"/>
      <c r="E56" s="134"/>
      <c r="F56" s="134"/>
      <c r="G56" s="135"/>
      <c r="H56" s="126"/>
      <c r="I56" s="126"/>
      <c r="J56" s="126"/>
      <c r="K56" s="236"/>
      <c r="L56" s="401"/>
      <c r="M56" s="126"/>
      <c r="N56" s="400"/>
    </row>
    <row r="57" spans="2:14" ht="13.5" thickBot="1" x14ac:dyDescent="0.25">
      <c r="B57" s="136"/>
      <c r="C57" s="137"/>
      <c r="D57" s="138"/>
      <c r="E57" s="138"/>
      <c r="F57" s="138"/>
      <c r="G57" s="253"/>
      <c r="H57" s="253"/>
      <c r="I57" s="253"/>
      <c r="J57" s="253"/>
      <c r="K57" s="402"/>
      <c r="L57" s="403"/>
      <c r="M57" s="253"/>
      <c r="N57" s="404"/>
    </row>
    <row r="58" spans="2:14" ht="17.25" customHeight="1" thickTop="1" thickBot="1" x14ac:dyDescent="0.25">
      <c r="B58" s="139"/>
      <c r="C58" s="140" t="s">
        <v>309</v>
      </c>
      <c r="D58" s="141">
        <f t="shared" ref="D58:N58" si="5">SUM(D8:D57)</f>
        <v>551710310526.05005</v>
      </c>
      <c r="E58" s="141">
        <f t="shared" si="5"/>
        <v>540523111378.52002</v>
      </c>
      <c r="F58" s="141">
        <v>595493845578.62</v>
      </c>
      <c r="G58" s="254">
        <v>637680949935.64001</v>
      </c>
      <c r="H58" s="254">
        <v>688304412592</v>
      </c>
      <c r="I58" s="254">
        <v>739657867706</v>
      </c>
      <c r="J58" s="254">
        <v>777182079359</v>
      </c>
      <c r="K58" s="254">
        <v>815728209161</v>
      </c>
      <c r="L58" s="405">
        <f t="shared" si="3"/>
        <v>107.46086385246527</v>
      </c>
      <c r="M58" s="254">
        <f t="shared" si="5"/>
        <v>51353455114</v>
      </c>
      <c r="N58" s="406">
        <f t="shared" si="5"/>
        <v>101976917770.36</v>
      </c>
    </row>
  </sheetData>
  <mergeCells count="1">
    <mergeCell ref="C5:F5"/>
  </mergeCells>
  <printOptions horizontalCentered="1"/>
  <pageMargins left="0.51181102362204722" right="0.55118110236220474" top="0.69" bottom="0.72" header="0.51181102362204722" footer="0.51181102362204722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0"/>
  <sheetViews>
    <sheetView zoomScale="85" zoomScaleNormal="85" workbookViewId="0">
      <pane xSplit="3" ySplit="7" topLeftCell="D8" activePane="bottomRight" state="frozen"/>
      <selection activeCell="I57" sqref="I57:K58"/>
      <selection pane="topRight" activeCell="I57" sqref="I57:K58"/>
      <selection pane="bottomLeft" activeCell="I57" sqref="I57:K58"/>
      <selection pane="bottomRight"/>
    </sheetView>
  </sheetViews>
  <sheetFormatPr defaultColWidth="9.33203125" defaultRowHeight="12.75" x14ac:dyDescent="0.2"/>
  <cols>
    <col min="1" max="1" width="3.33203125" style="66" customWidth="1"/>
    <col min="2" max="2" width="10.5" style="66" bestFit="1" customWidth="1"/>
    <col min="3" max="3" width="42.6640625" style="227" customWidth="1"/>
    <col min="4" max="9" width="18.6640625" style="227" customWidth="1"/>
    <col min="10" max="10" width="12.33203125" style="227" bestFit="1" customWidth="1"/>
    <col min="11" max="11" width="18" style="227" customWidth="1"/>
    <col min="12" max="12" width="19.83203125" style="227" bestFit="1" customWidth="1"/>
    <col min="13" max="16384" width="9.33203125" style="66"/>
  </cols>
  <sheetData>
    <row r="1" spans="2:12" x14ac:dyDescent="0.2">
      <c r="D1" s="228"/>
      <c r="E1" s="228"/>
      <c r="F1" s="228"/>
      <c r="G1" s="228"/>
      <c r="H1" s="228"/>
      <c r="I1" s="228" t="s">
        <v>56</v>
      </c>
    </row>
    <row r="3" spans="2:12" ht="15" x14ac:dyDescent="0.25">
      <c r="C3" s="229" t="s">
        <v>341</v>
      </c>
      <c r="K3" s="228"/>
    </row>
    <row r="4" spans="2:12" x14ac:dyDescent="0.2">
      <c r="C4" s="230" t="s">
        <v>1</v>
      </c>
      <c r="D4" s="228"/>
      <c r="E4" s="228"/>
      <c r="F4" s="228"/>
      <c r="G4" s="228"/>
      <c r="H4" s="228"/>
      <c r="I4" s="228"/>
      <c r="J4" s="228"/>
    </row>
    <row r="5" spans="2:12" x14ac:dyDescent="0.2">
      <c r="C5" s="430"/>
      <c r="D5" s="430"/>
      <c r="E5" s="430"/>
      <c r="F5" s="430"/>
      <c r="G5" s="430"/>
      <c r="H5" s="255"/>
      <c r="I5" s="255"/>
      <c r="J5" s="397"/>
    </row>
    <row r="6" spans="2:12" ht="13.5" thickBot="1" x14ac:dyDescent="0.25">
      <c r="D6" s="228"/>
      <c r="E6" s="228"/>
      <c r="F6" s="228"/>
      <c r="G6" s="228"/>
      <c r="H6" s="231"/>
      <c r="I6" s="231" t="s">
        <v>55</v>
      </c>
    </row>
    <row r="7" spans="2:12" ht="41.25" customHeight="1" thickBot="1" x14ac:dyDescent="0.25">
      <c r="B7" s="120" t="s">
        <v>3</v>
      </c>
      <c r="C7" s="233" t="s">
        <v>4</v>
      </c>
      <c r="D7" s="81" t="s">
        <v>5</v>
      </c>
      <c r="E7" s="206" t="s">
        <v>259</v>
      </c>
      <c r="F7" s="206" t="s">
        <v>260</v>
      </c>
      <c r="G7" s="206" t="s">
        <v>330</v>
      </c>
      <c r="H7" s="81">
        <v>2023</v>
      </c>
      <c r="I7" s="81">
        <v>2024</v>
      </c>
      <c r="J7" s="206" t="s">
        <v>114</v>
      </c>
      <c r="K7" s="398" t="s">
        <v>261</v>
      </c>
      <c r="L7" s="261" t="s">
        <v>335</v>
      </c>
    </row>
    <row r="8" spans="2:12" x14ac:dyDescent="0.2">
      <c r="B8" s="124">
        <v>301</v>
      </c>
      <c r="C8" s="434" t="s">
        <v>6</v>
      </c>
      <c r="D8" s="126">
        <v>444434555.99000001</v>
      </c>
      <c r="E8" s="126">
        <v>654417059.98000002</v>
      </c>
      <c r="F8" s="126">
        <v>620112993.3900001</v>
      </c>
      <c r="G8" s="126">
        <v>397602237.89000005</v>
      </c>
      <c r="H8" s="126">
        <v>431517595</v>
      </c>
      <c r="I8" s="399">
        <v>411332032</v>
      </c>
      <c r="J8" s="291">
        <f>+I8/H8*100</f>
        <v>95.32219236622322</v>
      </c>
      <c r="K8" s="407">
        <f>+I8-H8</f>
        <v>-20185563</v>
      </c>
      <c r="L8" s="400">
        <f>+I8-G8</f>
        <v>13729794.109999955</v>
      </c>
    </row>
    <row r="9" spans="2:12" x14ac:dyDescent="0.2">
      <c r="B9" s="127">
        <v>302</v>
      </c>
      <c r="C9" s="435" t="s">
        <v>7</v>
      </c>
      <c r="D9" s="126">
        <v>1353885285.6900001</v>
      </c>
      <c r="E9" s="126">
        <v>1345130703.5599999</v>
      </c>
      <c r="F9" s="126">
        <v>1460386757.3800001</v>
      </c>
      <c r="G9" s="126">
        <v>1509162084.2200003</v>
      </c>
      <c r="H9" s="126">
        <v>1552674530</v>
      </c>
      <c r="I9" s="399">
        <v>1488833262</v>
      </c>
      <c r="J9" s="291">
        <f t="shared" ref="J9:J58" si="0">+I9/H9*100</f>
        <v>95.888303262113794</v>
      </c>
      <c r="K9" s="407">
        <f t="shared" ref="K9:K58" si="1">+I9-H9</f>
        <v>-63841268</v>
      </c>
      <c r="L9" s="400">
        <f t="shared" ref="L9:L55" si="2">+I9-G9</f>
        <v>-20328822.220000267</v>
      </c>
    </row>
    <row r="10" spans="2:12" x14ac:dyDescent="0.2">
      <c r="B10" s="127">
        <v>303</v>
      </c>
      <c r="C10" s="435" t="s">
        <v>8</v>
      </c>
      <c r="D10" s="126">
        <v>611049284.44000006</v>
      </c>
      <c r="E10" s="126">
        <v>615883533.99000001</v>
      </c>
      <c r="F10" s="126">
        <v>662823428.24000013</v>
      </c>
      <c r="G10" s="126">
        <v>678727210.93000007</v>
      </c>
      <c r="H10" s="126">
        <v>661350102</v>
      </c>
      <c r="I10" s="399">
        <v>640508651</v>
      </c>
      <c r="J10" s="291">
        <f t="shared" si="0"/>
        <v>96.848650822465586</v>
      </c>
      <c r="K10" s="407">
        <f t="shared" si="1"/>
        <v>-20841451</v>
      </c>
      <c r="L10" s="400">
        <f t="shared" si="2"/>
        <v>-38218559.930000067</v>
      </c>
    </row>
    <row r="11" spans="2:12" x14ac:dyDescent="0.2">
      <c r="B11" s="127">
        <v>304</v>
      </c>
      <c r="C11" s="435" t="s">
        <v>9</v>
      </c>
      <c r="D11" s="126">
        <v>1173822282.78</v>
      </c>
      <c r="E11" s="126">
        <v>1032857844.9</v>
      </c>
      <c r="F11" s="126">
        <v>1086783100.4500008</v>
      </c>
      <c r="G11" s="126">
        <v>1636802189.1300013</v>
      </c>
      <c r="H11" s="126">
        <v>1403335781</v>
      </c>
      <c r="I11" s="399">
        <v>932840624</v>
      </c>
      <c r="J11" s="291">
        <f t="shared" si="0"/>
        <v>66.473087669386516</v>
      </c>
      <c r="K11" s="407">
        <f t="shared" si="1"/>
        <v>-470495157</v>
      </c>
      <c r="L11" s="400">
        <f t="shared" si="2"/>
        <v>-703961565.13000131</v>
      </c>
    </row>
    <row r="12" spans="2:12" x14ac:dyDescent="0.2">
      <c r="B12" s="127">
        <v>305</v>
      </c>
      <c r="C12" s="435" t="s">
        <v>10</v>
      </c>
      <c r="D12" s="126">
        <v>2029210825.48</v>
      </c>
      <c r="E12" s="126">
        <v>2208003606.6500001</v>
      </c>
      <c r="F12" s="126">
        <v>2260153773.8699999</v>
      </c>
      <c r="G12" s="126">
        <v>2484333909.6900001</v>
      </c>
      <c r="H12" s="126">
        <v>2227190270</v>
      </c>
      <c r="I12" s="399">
        <v>2094787270</v>
      </c>
      <c r="J12" s="291">
        <f t="shared" si="0"/>
        <v>94.055155422351945</v>
      </c>
      <c r="K12" s="407">
        <f t="shared" si="1"/>
        <v>-132403000</v>
      </c>
      <c r="L12" s="400">
        <f t="shared" si="2"/>
        <v>-389546639.69000006</v>
      </c>
    </row>
    <row r="13" spans="2:12" x14ac:dyDescent="0.2">
      <c r="B13" s="127">
        <v>306</v>
      </c>
      <c r="C13" s="435" t="s">
        <v>11</v>
      </c>
      <c r="D13" s="126">
        <v>7979585700.8599997</v>
      </c>
      <c r="E13" s="126">
        <v>8320940314.1700001</v>
      </c>
      <c r="F13" s="126">
        <v>8175835592.6499987</v>
      </c>
      <c r="G13" s="126">
        <v>8873023374.2600002</v>
      </c>
      <c r="H13" s="126">
        <v>9999525244</v>
      </c>
      <c r="I13" s="399">
        <v>9391725162</v>
      </c>
      <c r="J13" s="291">
        <f t="shared" si="0"/>
        <v>93.921710609564215</v>
      </c>
      <c r="K13" s="407">
        <f t="shared" si="1"/>
        <v>-607800082</v>
      </c>
      <c r="L13" s="400">
        <f t="shared" si="2"/>
        <v>518701787.73999977</v>
      </c>
    </row>
    <row r="14" spans="2:12" x14ac:dyDescent="0.2">
      <c r="B14" s="127">
        <v>307</v>
      </c>
      <c r="C14" s="435" t="s">
        <v>12</v>
      </c>
      <c r="D14" s="126">
        <v>68321076490.080002</v>
      </c>
      <c r="E14" s="126">
        <v>74310589181.899994</v>
      </c>
      <c r="F14" s="126">
        <v>84944465952.440063</v>
      </c>
      <c r="G14" s="126">
        <v>90806748795.619781</v>
      </c>
      <c r="H14" s="126">
        <v>111808740647</v>
      </c>
      <c r="I14" s="399">
        <v>159825318527</v>
      </c>
      <c r="J14" s="291">
        <f t="shared" si="0"/>
        <v>142.94528102377689</v>
      </c>
      <c r="K14" s="407">
        <f t="shared" si="1"/>
        <v>48016577880</v>
      </c>
      <c r="L14" s="400">
        <f t="shared" si="2"/>
        <v>69018569731.380219</v>
      </c>
    </row>
    <row r="15" spans="2:12" x14ac:dyDescent="0.2">
      <c r="B15" s="127">
        <v>308</v>
      </c>
      <c r="C15" s="435" t="s">
        <v>13</v>
      </c>
      <c r="D15" s="126">
        <v>288830929.83999997</v>
      </c>
      <c r="E15" s="126">
        <v>291191677.44</v>
      </c>
      <c r="F15" s="126">
        <v>328305872.17999995</v>
      </c>
      <c r="G15" s="126">
        <v>294760380.7100001</v>
      </c>
      <c r="H15" s="126">
        <v>332031158</v>
      </c>
      <c r="I15" s="399">
        <v>303840873</v>
      </c>
      <c r="J15" s="291">
        <f t="shared" si="0"/>
        <v>91.509747106324284</v>
      </c>
      <c r="K15" s="407">
        <f t="shared" si="1"/>
        <v>-28190285</v>
      </c>
      <c r="L15" s="400">
        <f t="shared" si="2"/>
        <v>9080492.2899999022</v>
      </c>
    </row>
    <row r="16" spans="2:12" x14ac:dyDescent="0.2">
      <c r="B16" s="127">
        <v>309</v>
      </c>
      <c r="C16" s="435" t="s">
        <v>14</v>
      </c>
      <c r="D16" s="126">
        <v>165340400.47999999</v>
      </c>
      <c r="E16" s="126">
        <v>170912422.63999999</v>
      </c>
      <c r="F16" s="126">
        <v>162139074.52999994</v>
      </c>
      <c r="G16" s="126">
        <v>161044386.80000001</v>
      </c>
      <c r="H16" s="126">
        <v>162239700</v>
      </c>
      <c r="I16" s="399">
        <v>148088292</v>
      </c>
      <c r="J16" s="291">
        <f t="shared" si="0"/>
        <v>91.27746907816028</v>
      </c>
      <c r="K16" s="407">
        <f t="shared" si="1"/>
        <v>-14151408</v>
      </c>
      <c r="L16" s="400">
        <f t="shared" si="2"/>
        <v>-12956094.800000012</v>
      </c>
    </row>
    <row r="17" spans="2:12" x14ac:dyDescent="0.2">
      <c r="B17" s="127">
        <v>312</v>
      </c>
      <c r="C17" s="435" t="s">
        <v>15</v>
      </c>
      <c r="D17" s="126">
        <v>23115911732.349998</v>
      </c>
      <c r="E17" s="126">
        <v>25597927052.220001</v>
      </c>
      <c r="F17" s="126">
        <v>23955093549.950012</v>
      </c>
      <c r="G17" s="126">
        <v>24177166749.75</v>
      </c>
      <c r="H17" s="126">
        <v>23959621516</v>
      </c>
      <c r="I17" s="399">
        <v>22892045568</v>
      </c>
      <c r="J17" s="291">
        <f t="shared" si="0"/>
        <v>95.544270399734472</v>
      </c>
      <c r="K17" s="407">
        <f t="shared" si="1"/>
        <v>-1067575948</v>
      </c>
      <c r="L17" s="400">
        <f t="shared" si="2"/>
        <v>-1285121181.75</v>
      </c>
    </row>
    <row r="18" spans="2:12" x14ac:dyDescent="0.2">
      <c r="B18" s="127">
        <v>313</v>
      </c>
      <c r="C18" s="435" t="s">
        <v>16</v>
      </c>
      <c r="D18" s="126">
        <v>638501434247.02991</v>
      </c>
      <c r="E18" s="126">
        <v>751043145021.26001</v>
      </c>
      <c r="F18" s="126">
        <v>763571917647.09009</v>
      </c>
      <c r="G18" s="126">
        <v>810948120582.78992</v>
      </c>
      <c r="H18" s="126">
        <v>899423653905</v>
      </c>
      <c r="I18" s="399">
        <v>921775608691</v>
      </c>
      <c r="J18" s="291">
        <f t="shared" si="0"/>
        <v>102.48514197830525</v>
      </c>
      <c r="K18" s="407">
        <f t="shared" si="1"/>
        <v>22351954786</v>
      </c>
      <c r="L18" s="400">
        <f t="shared" si="2"/>
        <v>110827488108.21008</v>
      </c>
    </row>
    <row r="19" spans="2:12" x14ac:dyDescent="0.2">
      <c r="B19" s="127">
        <v>314</v>
      </c>
      <c r="C19" s="435" t="s">
        <v>17</v>
      </c>
      <c r="D19" s="126">
        <v>80471495632.220001</v>
      </c>
      <c r="E19" s="126">
        <v>93001503903.839996</v>
      </c>
      <c r="F19" s="126">
        <v>90880157072.880219</v>
      </c>
      <c r="G19" s="126">
        <v>93413466074.989914</v>
      </c>
      <c r="H19" s="126">
        <v>99733224285</v>
      </c>
      <c r="I19" s="399">
        <v>91494415577</v>
      </c>
      <c r="J19" s="291">
        <f t="shared" si="0"/>
        <v>91.739153359309242</v>
      </c>
      <c r="K19" s="407">
        <f t="shared" si="1"/>
        <v>-8238808708</v>
      </c>
      <c r="L19" s="400">
        <f t="shared" si="2"/>
        <v>-1919050497.9899139</v>
      </c>
    </row>
    <row r="20" spans="2:12" x14ac:dyDescent="0.2">
      <c r="B20" s="127">
        <v>315</v>
      </c>
      <c r="C20" s="435" t="s">
        <v>18</v>
      </c>
      <c r="D20" s="126">
        <v>17529401515.009998</v>
      </c>
      <c r="E20" s="126">
        <v>18320756871.060001</v>
      </c>
      <c r="F20" s="126">
        <v>17912724698.460003</v>
      </c>
      <c r="G20" s="126">
        <v>26042340027.459999</v>
      </c>
      <c r="H20" s="126">
        <v>19824751417</v>
      </c>
      <c r="I20" s="399">
        <v>11956134161</v>
      </c>
      <c r="J20" s="291">
        <f t="shared" si="0"/>
        <v>60.309125242031783</v>
      </c>
      <c r="K20" s="407">
        <f t="shared" si="1"/>
        <v>-7868617256</v>
      </c>
      <c r="L20" s="400">
        <f t="shared" si="2"/>
        <v>-14086205866.459999</v>
      </c>
    </row>
    <row r="21" spans="2:12" x14ac:dyDescent="0.2">
      <c r="B21" s="127">
        <v>317</v>
      </c>
      <c r="C21" s="435" t="s">
        <v>19</v>
      </c>
      <c r="D21" s="126">
        <v>27475978251.259998</v>
      </c>
      <c r="E21" s="126">
        <v>31541214062.580002</v>
      </c>
      <c r="F21" s="126">
        <v>32165252611.340012</v>
      </c>
      <c r="G21" s="126">
        <v>27842328229.470024</v>
      </c>
      <c r="H21" s="126">
        <v>22548519295</v>
      </c>
      <c r="I21" s="399">
        <v>8923344790</v>
      </c>
      <c r="J21" s="291">
        <f t="shared" si="0"/>
        <v>39.57397234495437</v>
      </c>
      <c r="K21" s="407">
        <f t="shared" si="1"/>
        <v>-13625174505</v>
      </c>
      <c r="L21" s="400">
        <f t="shared" si="2"/>
        <v>-18918983439.470024</v>
      </c>
    </row>
    <row r="22" spans="2:12" x14ac:dyDescent="0.2">
      <c r="B22" s="127">
        <v>321</v>
      </c>
      <c r="C22" s="435" t="s">
        <v>20</v>
      </c>
      <c r="D22" s="126">
        <v>4343275649.75</v>
      </c>
      <c r="E22" s="126">
        <v>4486949780.8500004</v>
      </c>
      <c r="F22" s="126">
        <v>4530292878.579999</v>
      </c>
      <c r="G22" s="126">
        <v>4461512911.7200003</v>
      </c>
      <c r="H22" s="126">
        <v>4657413025</v>
      </c>
      <c r="I22" s="399">
        <v>4199357605</v>
      </c>
      <c r="J22" s="291">
        <f t="shared" si="0"/>
        <v>90.165024713478147</v>
      </c>
      <c r="K22" s="407">
        <f t="shared" si="1"/>
        <v>-458055420</v>
      </c>
      <c r="L22" s="400">
        <f t="shared" si="2"/>
        <v>-262155306.72000027</v>
      </c>
    </row>
    <row r="23" spans="2:12" x14ac:dyDescent="0.2">
      <c r="B23" s="127">
        <v>322</v>
      </c>
      <c r="C23" s="435" t="s">
        <v>21</v>
      </c>
      <c r="D23" s="126">
        <v>47649101069.25</v>
      </c>
      <c r="E23" s="126">
        <v>60904644446.389999</v>
      </c>
      <c r="F23" s="126">
        <v>81569415101.300003</v>
      </c>
      <c r="G23" s="126">
        <v>73506416955.719986</v>
      </c>
      <c r="H23" s="126">
        <v>53790687885</v>
      </c>
      <c r="I23" s="399">
        <v>38892306414</v>
      </c>
      <c r="J23" s="291">
        <f t="shared" si="0"/>
        <v>72.303047131779579</v>
      </c>
      <c r="K23" s="407">
        <f t="shared" si="1"/>
        <v>-14898381471</v>
      </c>
      <c r="L23" s="400">
        <f t="shared" si="2"/>
        <v>-34614110541.719986</v>
      </c>
    </row>
    <row r="24" spans="2:12" x14ac:dyDescent="0.2">
      <c r="B24" s="127">
        <v>327</v>
      </c>
      <c r="C24" s="435" t="s">
        <v>22</v>
      </c>
      <c r="D24" s="126">
        <v>75228813596.840027</v>
      </c>
      <c r="E24" s="126">
        <v>106930412936.98</v>
      </c>
      <c r="F24" s="126">
        <v>107538745117.05002</v>
      </c>
      <c r="G24" s="126">
        <v>111949213524.12997</v>
      </c>
      <c r="H24" s="126">
        <v>112700866821</v>
      </c>
      <c r="I24" s="399">
        <v>100170363765</v>
      </c>
      <c r="J24" s="291">
        <f t="shared" si="0"/>
        <v>88.881626726170708</v>
      </c>
      <c r="K24" s="407">
        <f t="shared" si="1"/>
        <v>-12530503056</v>
      </c>
      <c r="L24" s="400">
        <f t="shared" si="2"/>
        <v>-11778849759.129974</v>
      </c>
    </row>
    <row r="25" spans="2:12" x14ac:dyDescent="0.2">
      <c r="B25" s="127">
        <v>328</v>
      </c>
      <c r="C25" s="435" t="s">
        <v>23</v>
      </c>
      <c r="D25" s="126">
        <v>1170855075.1800001</v>
      </c>
      <c r="E25" s="126">
        <v>967222568.85000002</v>
      </c>
      <c r="F25" s="126">
        <v>697117241.38999999</v>
      </c>
      <c r="G25" s="126">
        <v>7453056163.9499998</v>
      </c>
      <c r="H25" s="126">
        <v>2222277137</v>
      </c>
      <c r="I25" s="399">
        <v>2176944077</v>
      </c>
      <c r="J25" s="291">
        <f t="shared" si="0"/>
        <v>97.96006271021632</v>
      </c>
      <c r="K25" s="407">
        <f t="shared" si="1"/>
        <v>-45333060</v>
      </c>
      <c r="L25" s="400">
        <f t="shared" si="2"/>
        <v>-5276112086.9499998</v>
      </c>
    </row>
    <row r="26" spans="2:12" x14ac:dyDescent="0.2">
      <c r="B26" s="127">
        <v>329</v>
      </c>
      <c r="C26" s="435" t="s">
        <v>24</v>
      </c>
      <c r="D26" s="126">
        <v>64214373058.010002</v>
      </c>
      <c r="E26" s="126">
        <v>70820625001.830002</v>
      </c>
      <c r="F26" s="126">
        <v>68310009860.589989</v>
      </c>
      <c r="G26" s="126">
        <v>68598875233.60997</v>
      </c>
      <c r="H26" s="126">
        <v>57485751119</v>
      </c>
      <c r="I26" s="399">
        <v>52435814665</v>
      </c>
      <c r="J26" s="291">
        <f t="shared" si="0"/>
        <v>91.215324918437204</v>
      </c>
      <c r="K26" s="407">
        <f t="shared" si="1"/>
        <v>-5049936454</v>
      </c>
      <c r="L26" s="400">
        <f t="shared" si="2"/>
        <v>-16163060568.60997</v>
      </c>
    </row>
    <row r="27" spans="2:12" x14ac:dyDescent="0.2">
      <c r="B27" s="127">
        <v>333</v>
      </c>
      <c r="C27" s="435" t="s">
        <v>25</v>
      </c>
      <c r="D27" s="126">
        <v>210531806494.76001</v>
      </c>
      <c r="E27" s="126">
        <v>227422706165.62</v>
      </c>
      <c r="F27" s="126">
        <v>241650925373.58987</v>
      </c>
      <c r="G27" s="126">
        <v>250484193369.65985</v>
      </c>
      <c r="H27" s="126">
        <v>265023032191</v>
      </c>
      <c r="I27" s="399">
        <v>235748417549</v>
      </c>
      <c r="J27" s="291">
        <f t="shared" si="0"/>
        <v>88.953935663636202</v>
      </c>
      <c r="K27" s="407">
        <f t="shared" si="1"/>
        <v>-29274614642</v>
      </c>
      <c r="L27" s="400">
        <f t="shared" si="2"/>
        <v>-14735775820.659851</v>
      </c>
    </row>
    <row r="28" spans="2:12" x14ac:dyDescent="0.2">
      <c r="B28" s="127">
        <v>334</v>
      </c>
      <c r="C28" s="435" t="s">
        <v>26</v>
      </c>
      <c r="D28" s="126">
        <v>15140330175.959999</v>
      </c>
      <c r="E28" s="126">
        <v>15798099304.950001</v>
      </c>
      <c r="F28" s="126">
        <v>16597005671.880003</v>
      </c>
      <c r="G28" s="126">
        <v>15229103744.5</v>
      </c>
      <c r="H28" s="126">
        <v>18512591071</v>
      </c>
      <c r="I28" s="399">
        <v>15001997826</v>
      </c>
      <c r="J28" s="291">
        <f t="shared" si="0"/>
        <v>81.036726671398526</v>
      </c>
      <c r="K28" s="407">
        <f t="shared" si="1"/>
        <v>-3510593245</v>
      </c>
      <c r="L28" s="400">
        <f t="shared" si="2"/>
        <v>-227105918.5</v>
      </c>
    </row>
    <row r="29" spans="2:12" x14ac:dyDescent="0.2">
      <c r="B29" s="127">
        <v>335</v>
      </c>
      <c r="C29" s="435" t="s">
        <v>27</v>
      </c>
      <c r="D29" s="126">
        <v>9094519045.0599995</v>
      </c>
      <c r="E29" s="126">
        <v>32060294456.66</v>
      </c>
      <c r="F29" s="126">
        <v>31685094899.570015</v>
      </c>
      <c r="G29" s="126">
        <v>22723317075.420002</v>
      </c>
      <c r="H29" s="126">
        <v>15592522966</v>
      </c>
      <c r="I29" s="399">
        <v>11167797410</v>
      </c>
      <c r="J29" s="291">
        <f t="shared" si="0"/>
        <v>71.622773520050245</v>
      </c>
      <c r="K29" s="407">
        <f t="shared" si="1"/>
        <v>-4424725556</v>
      </c>
      <c r="L29" s="400">
        <f t="shared" si="2"/>
        <v>-11555519665.420002</v>
      </c>
    </row>
    <row r="30" spans="2:12" x14ac:dyDescent="0.2">
      <c r="B30" s="127">
        <v>336</v>
      </c>
      <c r="C30" s="435" t="s">
        <v>28</v>
      </c>
      <c r="D30" s="126">
        <v>30756434532.470001</v>
      </c>
      <c r="E30" s="126">
        <v>32111145893.810001</v>
      </c>
      <c r="F30" s="126">
        <v>32661937655.139954</v>
      </c>
      <c r="G30" s="126">
        <v>33936694274.68998</v>
      </c>
      <c r="H30" s="126">
        <v>36537616335</v>
      </c>
      <c r="I30" s="399">
        <v>34122937119</v>
      </c>
      <c r="J30" s="291">
        <f t="shared" si="0"/>
        <v>93.391251378139472</v>
      </c>
      <c r="K30" s="407">
        <f t="shared" si="1"/>
        <v>-2414679216</v>
      </c>
      <c r="L30" s="400">
        <f t="shared" si="2"/>
        <v>186242844.31002045</v>
      </c>
    </row>
    <row r="31" spans="2:12" x14ac:dyDescent="0.2">
      <c r="B31" s="127">
        <v>343</v>
      </c>
      <c r="C31" s="435" t="s">
        <v>29</v>
      </c>
      <c r="D31" s="126">
        <v>169618882.53999999</v>
      </c>
      <c r="E31" s="126">
        <v>179617661.59999999</v>
      </c>
      <c r="F31" s="126">
        <v>168667765.61999997</v>
      </c>
      <c r="G31" s="126">
        <v>167401392.59999999</v>
      </c>
      <c r="H31" s="126">
        <v>189695700</v>
      </c>
      <c r="I31" s="399">
        <v>175688298</v>
      </c>
      <c r="J31" s="291">
        <f t="shared" si="0"/>
        <v>92.615856869712914</v>
      </c>
      <c r="K31" s="407">
        <f t="shared" si="1"/>
        <v>-14007402</v>
      </c>
      <c r="L31" s="400">
        <f t="shared" si="2"/>
        <v>8286905.400000006</v>
      </c>
    </row>
    <row r="32" spans="2:12" x14ac:dyDescent="0.2">
      <c r="B32" s="127">
        <v>344</v>
      </c>
      <c r="C32" s="435" t="s">
        <v>30</v>
      </c>
      <c r="D32" s="126">
        <v>195397494.75</v>
      </c>
      <c r="E32" s="126">
        <v>207587538.86000001</v>
      </c>
      <c r="F32" s="126">
        <v>202541748.08999997</v>
      </c>
      <c r="G32" s="126">
        <v>195478055.13000005</v>
      </c>
      <c r="H32" s="126">
        <v>232509280</v>
      </c>
      <c r="I32" s="399">
        <v>203068566</v>
      </c>
      <c r="J32" s="291">
        <f t="shared" si="0"/>
        <v>87.337832709300883</v>
      </c>
      <c r="K32" s="407">
        <f t="shared" si="1"/>
        <v>-29440714</v>
      </c>
      <c r="L32" s="400">
        <f t="shared" si="2"/>
        <v>7590510.8699999452</v>
      </c>
    </row>
    <row r="33" spans="2:12" x14ac:dyDescent="0.2">
      <c r="B33" s="127">
        <v>345</v>
      </c>
      <c r="C33" s="435" t="s">
        <v>31</v>
      </c>
      <c r="D33" s="126">
        <v>1369964302.97</v>
      </c>
      <c r="E33" s="126">
        <v>1796012520.3399999</v>
      </c>
      <c r="F33" s="126">
        <v>2280419400.6800003</v>
      </c>
      <c r="G33" s="126">
        <v>1373416775.8100011</v>
      </c>
      <c r="H33" s="126">
        <v>1374418368</v>
      </c>
      <c r="I33" s="399">
        <v>1132246262</v>
      </c>
      <c r="J33" s="291">
        <f t="shared" si="0"/>
        <v>82.380029862930343</v>
      </c>
      <c r="K33" s="407">
        <f t="shared" si="1"/>
        <v>-242172106</v>
      </c>
      <c r="L33" s="400">
        <f t="shared" si="2"/>
        <v>-241170513.81000113</v>
      </c>
    </row>
    <row r="34" spans="2:12" x14ac:dyDescent="0.2">
      <c r="B34" s="127">
        <v>346</v>
      </c>
      <c r="C34" s="435" t="s">
        <v>32</v>
      </c>
      <c r="D34" s="126">
        <v>3540265826.3000002</v>
      </c>
      <c r="E34" s="126">
        <v>3606067047.6500001</v>
      </c>
      <c r="F34" s="126">
        <v>3668161353.7599988</v>
      </c>
      <c r="G34" s="126">
        <v>3685598282.54</v>
      </c>
      <c r="H34" s="126">
        <v>3905601998</v>
      </c>
      <c r="I34" s="399">
        <v>3560183908</v>
      </c>
      <c r="J34" s="291">
        <f t="shared" si="0"/>
        <v>91.155829749757316</v>
      </c>
      <c r="K34" s="407">
        <f t="shared" si="1"/>
        <v>-345418090</v>
      </c>
      <c r="L34" s="400">
        <f t="shared" si="2"/>
        <v>-125414374.53999996</v>
      </c>
    </row>
    <row r="35" spans="2:12" x14ac:dyDescent="0.2">
      <c r="B35" s="127">
        <v>348</v>
      </c>
      <c r="C35" s="435" t="s">
        <v>33</v>
      </c>
      <c r="D35" s="126">
        <v>187216392.87</v>
      </c>
      <c r="E35" s="126">
        <v>199395583.34999999</v>
      </c>
      <c r="F35" s="126">
        <v>175527711.09999993</v>
      </c>
      <c r="G35" s="126">
        <v>170522264.03999996</v>
      </c>
      <c r="H35" s="126">
        <v>189507591</v>
      </c>
      <c r="I35" s="399">
        <v>165917497</v>
      </c>
      <c r="J35" s="291">
        <f t="shared" si="0"/>
        <v>87.551900229685259</v>
      </c>
      <c r="K35" s="407">
        <f t="shared" si="1"/>
        <v>-23590094</v>
      </c>
      <c r="L35" s="400">
        <f t="shared" si="2"/>
        <v>-4604767.0399999619</v>
      </c>
    </row>
    <row r="36" spans="2:12" x14ac:dyDescent="0.2">
      <c r="B36" s="127">
        <v>349</v>
      </c>
      <c r="C36" s="435" t="s">
        <v>34</v>
      </c>
      <c r="D36" s="126">
        <v>312466225.38</v>
      </c>
      <c r="E36" s="126">
        <v>292261685.31999999</v>
      </c>
      <c r="F36" s="126">
        <v>285861686.73999989</v>
      </c>
      <c r="G36" s="126">
        <v>298992974.3499999</v>
      </c>
      <c r="H36" s="126">
        <v>306643922</v>
      </c>
      <c r="I36" s="399">
        <v>294738279</v>
      </c>
      <c r="J36" s="291">
        <f t="shared" si="0"/>
        <v>96.11743714913743</v>
      </c>
      <c r="K36" s="407">
        <f t="shared" si="1"/>
        <v>-11905643</v>
      </c>
      <c r="L36" s="400">
        <f t="shared" si="2"/>
        <v>-4254695.3499999046</v>
      </c>
    </row>
    <row r="37" spans="2:12" x14ac:dyDescent="0.2">
      <c r="B37" s="127">
        <v>353</v>
      </c>
      <c r="C37" s="435" t="s">
        <v>35</v>
      </c>
      <c r="D37" s="126">
        <v>269368613.63</v>
      </c>
      <c r="E37" s="126">
        <v>265147825.88</v>
      </c>
      <c r="F37" s="126">
        <v>266779727.14000005</v>
      </c>
      <c r="G37" s="126">
        <v>270807514.20999992</v>
      </c>
      <c r="H37" s="126">
        <v>273353093</v>
      </c>
      <c r="I37" s="399">
        <v>239858903</v>
      </c>
      <c r="J37" s="291">
        <f t="shared" si="0"/>
        <v>87.746913842310164</v>
      </c>
      <c r="K37" s="407">
        <f t="shared" si="1"/>
        <v>-33494190</v>
      </c>
      <c r="L37" s="400">
        <f t="shared" si="2"/>
        <v>-30948611.209999919</v>
      </c>
    </row>
    <row r="38" spans="2:12" x14ac:dyDescent="0.2">
      <c r="B38" s="127">
        <v>355</v>
      </c>
      <c r="C38" s="435" t="s">
        <v>36</v>
      </c>
      <c r="D38" s="126">
        <v>200875848.41999999</v>
      </c>
      <c r="E38" s="126">
        <v>208223037.53</v>
      </c>
      <c r="F38" s="126">
        <v>198079793.06999999</v>
      </c>
      <c r="G38" s="126">
        <v>211188306.74999997</v>
      </c>
      <c r="H38" s="126">
        <v>193808789</v>
      </c>
      <c r="I38" s="399">
        <v>176247018</v>
      </c>
      <c r="J38" s="291">
        <f t="shared" si="0"/>
        <v>90.93860960041394</v>
      </c>
      <c r="K38" s="407">
        <f t="shared" si="1"/>
        <v>-17561771</v>
      </c>
      <c r="L38" s="400">
        <f t="shared" si="2"/>
        <v>-34941288.74999997</v>
      </c>
    </row>
    <row r="39" spans="2:12" x14ac:dyDescent="0.2">
      <c r="B39" s="127">
        <v>358</v>
      </c>
      <c r="C39" s="435" t="s">
        <v>37</v>
      </c>
      <c r="D39" s="126">
        <v>214508803.74000001</v>
      </c>
      <c r="E39" s="126">
        <v>238791520.03999999</v>
      </c>
      <c r="F39" s="126">
        <v>232310317.91999999</v>
      </c>
      <c r="G39" s="126">
        <v>230773730.73999995</v>
      </c>
      <c r="H39" s="126">
        <v>241412885</v>
      </c>
      <c r="I39" s="399">
        <v>238036655</v>
      </c>
      <c r="J39" s="291">
        <f t="shared" si="0"/>
        <v>98.601470671294123</v>
      </c>
      <c r="K39" s="407">
        <f t="shared" si="1"/>
        <v>-3376230</v>
      </c>
      <c r="L39" s="400">
        <f t="shared" si="2"/>
        <v>7262924.2600000501</v>
      </c>
    </row>
    <row r="40" spans="2:12" x14ac:dyDescent="0.2">
      <c r="B40" s="127">
        <v>359</v>
      </c>
      <c r="C40" s="435" t="s">
        <v>38</v>
      </c>
      <c r="D40" s="126">
        <v>23210191.5</v>
      </c>
      <c r="E40" s="126">
        <v>22404323.309999999</v>
      </c>
      <c r="F40" s="126">
        <v>23738753.680000007</v>
      </c>
      <c r="G40" s="126">
        <v>24094734.329999998</v>
      </c>
      <c r="H40" s="126">
        <v>26286994</v>
      </c>
      <c r="I40" s="399">
        <v>25246019</v>
      </c>
      <c r="J40" s="291">
        <f t="shared" si="0"/>
        <v>96.039961815337278</v>
      </c>
      <c r="K40" s="407">
        <f t="shared" si="1"/>
        <v>-1040975</v>
      </c>
      <c r="L40" s="400">
        <f t="shared" si="2"/>
        <v>1151284.6700000018</v>
      </c>
    </row>
    <row r="41" spans="2:12" x14ac:dyDescent="0.2">
      <c r="B41" s="127">
        <v>361</v>
      </c>
      <c r="C41" s="435" t="s">
        <v>39</v>
      </c>
      <c r="D41" s="126">
        <v>6093427633.9300003</v>
      </c>
      <c r="E41" s="126">
        <v>6668607221.1499996</v>
      </c>
      <c r="F41" s="126">
        <v>6948293895.3800001</v>
      </c>
      <c r="G41" s="126">
        <v>7099901234.5300007</v>
      </c>
      <c r="H41" s="126">
        <v>7177502810</v>
      </c>
      <c r="I41" s="399">
        <v>6565827101</v>
      </c>
      <c r="J41" s="291">
        <f t="shared" si="0"/>
        <v>91.477875729316509</v>
      </c>
      <c r="K41" s="407">
        <f t="shared" si="1"/>
        <v>-611675709</v>
      </c>
      <c r="L41" s="400">
        <f t="shared" si="2"/>
        <v>-534074133.53000069</v>
      </c>
    </row>
    <row r="42" spans="2:12" x14ac:dyDescent="0.2">
      <c r="B42" s="127">
        <v>362</v>
      </c>
      <c r="C42" s="435" t="s">
        <v>40</v>
      </c>
      <c r="D42" s="126">
        <v>8069760.8099999996</v>
      </c>
      <c r="E42" s="126">
        <v>216009063.05000001</v>
      </c>
      <c r="F42" s="126">
        <v>6148459610.8200006</v>
      </c>
      <c r="G42" s="126">
        <v>7094704217.9500008</v>
      </c>
      <c r="H42" s="126">
        <v>6908296695</v>
      </c>
      <c r="I42" s="399">
        <v>5200793736</v>
      </c>
      <c r="J42" s="291">
        <f t="shared" si="0"/>
        <v>75.283300147837679</v>
      </c>
      <c r="K42" s="407">
        <f t="shared" si="1"/>
        <v>-1707502959</v>
      </c>
      <c r="L42" s="400">
        <f t="shared" si="2"/>
        <v>-1893910481.9500008</v>
      </c>
    </row>
    <row r="43" spans="2:12" x14ac:dyDescent="0.2">
      <c r="B43" s="127">
        <v>364</v>
      </c>
      <c r="C43" s="435" t="s">
        <v>385</v>
      </c>
      <c r="D43" s="126">
        <v>0</v>
      </c>
      <c r="E43" s="126">
        <v>0</v>
      </c>
      <c r="F43" s="126">
        <v>0</v>
      </c>
      <c r="G43" s="126">
        <v>0</v>
      </c>
      <c r="H43" s="126">
        <v>0</v>
      </c>
      <c r="I43" s="399">
        <v>136536588</v>
      </c>
      <c r="J43" s="291"/>
      <c r="K43" s="407">
        <f t="shared" si="1"/>
        <v>136536588</v>
      </c>
      <c r="L43" s="400">
        <f t="shared" si="2"/>
        <v>136536588</v>
      </c>
    </row>
    <row r="44" spans="2:12" ht="25.5" x14ac:dyDescent="0.2">
      <c r="B44" s="127">
        <v>371</v>
      </c>
      <c r="C44" s="436" t="s">
        <v>41</v>
      </c>
      <c r="D44" s="126">
        <v>28158022.280000001</v>
      </c>
      <c r="E44" s="126">
        <v>23783650.109999999</v>
      </c>
      <c r="F44" s="126">
        <v>25312867.739999991</v>
      </c>
      <c r="G44" s="126">
        <v>25299676.649999995</v>
      </c>
      <c r="H44" s="126">
        <v>33383441</v>
      </c>
      <c r="I44" s="399">
        <v>32225902</v>
      </c>
      <c r="J44" s="291">
        <f t="shared" si="0"/>
        <v>96.532595306757017</v>
      </c>
      <c r="K44" s="407">
        <f t="shared" si="1"/>
        <v>-1157539</v>
      </c>
      <c r="L44" s="400">
        <f t="shared" si="2"/>
        <v>6926225.3500000052</v>
      </c>
    </row>
    <row r="45" spans="2:12" x14ac:dyDescent="0.2">
      <c r="B45" s="127">
        <v>372</v>
      </c>
      <c r="C45" s="435" t="s">
        <v>42</v>
      </c>
      <c r="D45" s="126">
        <v>63894839.829999998</v>
      </c>
      <c r="E45" s="126">
        <v>67713206.209999993</v>
      </c>
      <c r="F45" s="126">
        <v>108304232.95000002</v>
      </c>
      <c r="G45" s="126">
        <v>67743983.620000005</v>
      </c>
      <c r="H45" s="126">
        <v>74917734</v>
      </c>
      <c r="I45" s="399">
        <v>70651733</v>
      </c>
      <c r="J45" s="291">
        <f t="shared" si="0"/>
        <v>94.305752760754885</v>
      </c>
      <c r="K45" s="407">
        <f t="shared" si="1"/>
        <v>-4266001</v>
      </c>
      <c r="L45" s="400">
        <f t="shared" si="2"/>
        <v>2907749.3799999952</v>
      </c>
    </row>
    <row r="46" spans="2:12" x14ac:dyDescent="0.2">
      <c r="B46" s="127">
        <v>373</v>
      </c>
      <c r="C46" s="435" t="s">
        <v>43</v>
      </c>
      <c r="D46" s="126">
        <v>22849747.399999999</v>
      </c>
      <c r="E46" s="126">
        <v>21688206.550000001</v>
      </c>
      <c r="F46" s="126">
        <v>21886892.909999996</v>
      </c>
      <c r="G46" s="126">
        <v>23452590.839999992</v>
      </c>
      <c r="H46" s="126">
        <v>23319886</v>
      </c>
      <c r="I46" s="399">
        <v>21537518</v>
      </c>
      <c r="J46" s="291">
        <f t="shared" si="0"/>
        <v>92.35687515796603</v>
      </c>
      <c r="K46" s="407">
        <f t="shared" si="1"/>
        <v>-1782368</v>
      </c>
      <c r="L46" s="400">
        <f t="shared" si="2"/>
        <v>-1915072.8399999924</v>
      </c>
    </row>
    <row r="47" spans="2:12" x14ac:dyDescent="0.2">
      <c r="B47" s="127">
        <v>374</v>
      </c>
      <c r="C47" s="435" t="s">
        <v>44</v>
      </c>
      <c r="D47" s="126">
        <v>2630476559.4499998</v>
      </c>
      <c r="E47" s="126">
        <v>3727451658.4499998</v>
      </c>
      <c r="F47" s="126">
        <v>3248975615.3400011</v>
      </c>
      <c r="G47" s="126">
        <v>9672487627.6900005</v>
      </c>
      <c r="H47" s="126">
        <v>3778578416</v>
      </c>
      <c r="I47" s="399">
        <v>3377333235</v>
      </c>
      <c r="J47" s="291">
        <f t="shared" si="0"/>
        <v>89.381054544191301</v>
      </c>
      <c r="K47" s="407">
        <f t="shared" si="1"/>
        <v>-401245181</v>
      </c>
      <c r="L47" s="400">
        <f t="shared" si="2"/>
        <v>-6295154392.6900005</v>
      </c>
    </row>
    <row r="48" spans="2:12" x14ac:dyDescent="0.2">
      <c r="B48" s="127">
        <v>375</v>
      </c>
      <c r="C48" s="435" t="s">
        <v>45</v>
      </c>
      <c r="D48" s="126">
        <v>422401123.64999998</v>
      </c>
      <c r="E48" s="126">
        <v>432373045.83999997</v>
      </c>
      <c r="F48" s="126">
        <v>431833138.19</v>
      </c>
      <c r="G48" s="126">
        <v>475847041.07999992</v>
      </c>
      <c r="H48" s="126">
        <v>472955196</v>
      </c>
      <c r="I48" s="399">
        <v>476896550</v>
      </c>
      <c r="J48" s="291">
        <f t="shared" si="0"/>
        <v>100.83334616753</v>
      </c>
      <c r="K48" s="407">
        <f t="shared" si="1"/>
        <v>3941354</v>
      </c>
      <c r="L48" s="400">
        <f t="shared" si="2"/>
        <v>1049508.9200000763</v>
      </c>
    </row>
    <row r="49" spans="2:12" x14ac:dyDescent="0.2">
      <c r="B49" s="127">
        <v>376</v>
      </c>
      <c r="C49" s="435" t="s">
        <v>46</v>
      </c>
      <c r="D49" s="126">
        <v>426578528.52999997</v>
      </c>
      <c r="E49" s="126">
        <v>447988422.81999999</v>
      </c>
      <c r="F49" s="126">
        <v>447841269.4199999</v>
      </c>
      <c r="G49" s="126">
        <v>469394805.80999988</v>
      </c>
      <c r="H49" s="126">
        <v>519503730</v>
      </c>
      <c r="I49" s="399">
        <v>502763895</v>
      </c>
      <c r="J49" s="291">
        <f t="shared" si="0"/>
        <v>96.777725734519748</v>
      </c>
      <c r="K49" s="407">
        <f t="shared" si="1"/>
        <v>-16739835</v>
      </c>
      <c r="L49" s="400">
        <f t="shared" si="2"/>
        <v>33369089.190000117</v>
      </c>
    </row>
    <row r="50" spans="2:12" x14ac:dyDescent="0.2">
      <c r="B50" s="127">
        <v>377</v>
      </c>
      <c r="C50" s="435" t="s">
        <v>47</v>
      </c>
      <c r="D50" s="126">
        <v>4342014588.7799997</v>
      </c>
      <c r="E50" s="126">
        <v>5079490670.4399996</v>
      </c>
      <c r="F50" s="126">
        <v>5699212575.9099989</v>
      </c>
      <c r="G50" s="126">
        <v>5234421397.0999994</v>
      </c>
      <c r="H50" s="126">
        <v>6327572010</v>
      </c>
      <c r="I50" s="399">
        <v>5620944712</v>
      </c>
      <c r="J50" s="291">
        <f t="shared" si="0"/>
        <v>88.832568054804327</v>
      </c>
      <c r="K50" s="407">
        <f t="shared" si="1"/>
        <v>-706627298</v>
      </c>
      <c r="L50" s="400">
        <f t="shared" si="2"/>
        <v>386523314.90000057</v>
      </c>
    </row>
    <row r="51" spans="2:12" ht="25.5" x14ac:dyDescent="0.2">
      <c r="B51" s="127">
        <v>378</v>
      </c>
      <c r="C51" s="436" t="s">
        <v>48</v>
      </c>
      <c r="D51" s="126">
        <v>444759723.61000001</v>
      </c>
      <c r="E51" s="126">
        <v>369388000.49000001</v>
      </c>
      <c r="F51" s="126">
        <v>567589374.88000011</v>
      </c>
      <c r="G51" s="126">
        <v>592817895.79999983</v>
      </c>
      <c r="H51" s="126">
        <v>616610013</v>
      </c>
      <c r="I51" s="399">
        <v>852425333</v>
      </c>
      <c r="J51" s="291">
        <f t="shared" si="0"/>
        <v>138.24383565435227</v>
      </c>
      <c r="K51" s="407">
        <f t="shared" si="1"/>
        <v>235815320</v>
      </c>
      <c r="L51" s="400">
        <f t="shared" si="2"/>
        <v>259607437.20000017</v>
      </c>
    </row>
    <row r="52" spans="2:12" x14ac:dyDescent="0.2">
      <c r="B52" s="127">
        <v>381</v>
      </c>
      <c r="C52" s="435" t="s">
        <v>49</v>
      </c>
      <c r="D52" s="126">
        <v>587108469.37</v>
      </c>
      <c r="E52" s="126">
        <v>623587131.48000002</v>
      </c>
      <c r="F52" s="126">
        <v>935360576.44000006</v>
      </c>
      <c r="G52" s="126">
        <v>1034547959.1499999</v>
      </c>
      <c r="H52" s="126">
        <v>630992091</v>
      </c>
      <c r="I52" s="399">
        <v>572003898</v>
      </c>
      <c r="J52" s="291">
        <f t="shared" si="0"/>
        <v>90.651516264409096</v>
      </c>
      <c r="K52" s="407">
        <f t="shared" si="1"/>
        <v>-58988193</v>
      </c>
      <c r="L52" s="400">
        <f t="shared" si="2"/>
        <v>-462544061.14999986</v>
      </c>
    </row>
    <row r="53" spans="2:12" x14ac:dyDescent="0.2">
      <c r="B53" s="127">
        <v>396</v>
      </c>
      <c r="C53" s="435" t="s">
        <v>50</v>
      </c>
      <c r="D53" s="126">
        <v>39551407852.580002</v>
      </c>
      <c r="E53" s="126">
        <v>40145474011.32</v>
      </c>
      <c r="F53" s="126">
        <v>42233847726.199997</v>
      </c>
      <c r="G53" s="126">
        <v>49705483243.530006</v>
      </c>
      <c r="H53" s="126">
        <v>69966880286</v>
      </c>
      <c r="I53" s="399">
        <v>94966880286</v>
      </c>
      <c r="J53" s="291">
        <f t="shared" si="0"/>
        <v>135.73119152634615</v>
      </c>
      <c r="K53" s="407">
        <f t="shared" si="1"/>
        <v>25000000000</v>
      </c>
      <c r="L53" s="400">
        <f t="shared" si="2"/>
        <v>45261397042.469994</v>
      </c>
    </row>
    <row r="54" spans="2:12" x14ac:dyDescent="0.2">
      <c r="B54" s="127">
        <v>397</v>
      </c>
      <c r="C54" s="435" t="s">
        <v>51</v>
      </c>
      <c r="D54" s="126">
        <v>2083791.98</v>
      </c>
      <c r="E54" s="126">
        <v>2267494.41</v>
      </c>
      <c r="F54" s="126">
        <v>5987895.7300000004</v>
      </c>
      <c r="G54" s="126">
        <v>2135360.15</v>
      </c>
      <c r="H54" s="126">
        <v>380000000</v>
      </c>
      <c r="I54" s="399">
        <v>10000000</v>
      </c>
      <c r="J54" s="291">
        <f t="shared" si="0"/>
        <v>2.6315789473684208</v>
      </c>
      <c r="K54" s="407">
        <f t="shared" si="1"/>
        <v>-370000000</v>
      </c>
      <c r="L54" s="400">
        <f t="shared" si="2"/>
        <v>7864639.8499999996</v>
      </c>
    </row>
    <row r="55" spans="2:12" x14ac:dyDescent="0.2">
      <c r="B55" s="127">
        <v>398</v>
      </c>
      <c r="C55" s="435" t="s">
        <v>52</v>
      </c>
      <c r="D55" s="126">
        <v>163041125846.72</v>
      </c>
      <c r="E55" s="126">
        <v>218131478677.09</v>
      </c>
      <c r="F55" s="126">
        <v>219173465157.64993</v>
      </c>
      <c r="G55" s="126">
        <v>219074402347.61002</v>
      </c>
      <c r="H55" s="126">
        <v>358519256425</v>
      </c>
      <c r="I55" s="399">
        <v>282994331539</v>
      </c>
      <c r="J55" s="291">
        <f t="shared" si="0"/>
        <v>78.934206871033339</v>
      </c>
      <c r="K55" s="407">
        <f t="shared" si="1"/>
        <v>-75524924886</v>
      </c>
      <c r="L55" s="400">
        <f t="shared" si="2"/>
        <v>63919929191.389984</v>
      </c>
    </row>
    <row r="56" spans="2:12" x14ac:dyDescent="0.2">
      <c r="B56" s="132"/>
      <c r="C56" s="437"/>
      <c r="D56" s="135"/>
      <c r="E56" s="135"/>
      <c r="F56" s="135"/>
      <c r="G56" s="135"/>
      <c r="H56" s="135"/>
      <c r="I56" s="135"/>
      <c r="J56" s="417"/>
      <c r="K56" s="126"/>
      <c r="L56" s="400"/>
    </row>
    <row r="57" spans="2:12" ht="13.5" thickBot="1" x14ac:dyDescent="0.25">
      <c r="B57" s="136"/>
      <c r="C57" s="438"/>
      <c r="D57" s="253"/>
      <c r="E57" s="253"/>
      <c r="F57" s="253"/>
      <c r="G57" s="253"/>
      <c r="H57" s="253"/>
      <c r="I57" s="253"/>
      <c r="J57" s="403"/>
      <c r="K57" s="253"/>
      <c r="L57" s="418"/>
    </row>
    <row r="58" spans="2:12" ht="17.25" customHeight="1" thickTop="1" thickBot="1" x14ac:dyDescent="0.25">
      <c r="B58" s="139"/>
      <c r="C58" s="439" t="s">
        <v>309</v>
      </c>
      <c r="D58" s="254">
        <v>1551738214901.8098</v>
      </c>
      <c r="E58" s="254">
        <v>1842929383015.4204</v>
      </c>
      <c r="F58" s="254">
        <v>1906925155011.2993</v>
      </c>
      <c r="G58" s="254">
        <v>1984808922899.1194</v>
      </c>
      <c r="H58" s="256">
        <v>2222954141348</v>
      </c>
      <c r="I58" s="256">
        <v>2133807143341</v>
      </c>
      <c r="J58" s="412">
        <f t="shared" si="0"/>
        <v>95.989705934601915</v>
      </c>
      <c r="K58" s="254">
        <f t="shared" si="1"/>
        <v>-89146998007</v>
      </c>
      <c r="L58" s="416">
        <f>+I58-G58</f>
        <v>148998220441.88062</v>
      </c>
    </row>
    <row r="59" spans="2:12" ht="13.5" thickBot="1" x14ac:dyDescent="0.25">
      <c r="J59" s="235"/>
    </row>
    <row r="60" spans="2:12" ht="13.5" thickBot="1" x14ac:dyDescent="0.25">
      <c r="C60" s="440" t="s">
        <v>57</v>
      </c>
      <c r="D60" s="441">
        <v>-28515737355.07959</v>
      </c>
      <c r="E60" s="441">
        <v>-367449975230.71045</v>
      </c>
      <c r="F60" s="441">
        <f>+'T1 příjmy '!F58-'T4 výdaje '!F58</f>
        <v>-419687858554.89941</v>
      </c>
      <c r="G60" s="441">
        <f>+'T1 příjmy '!G58-'T4 výdaje '!G58</f>
        <v>-360401868516.24976</v>
      </c>
      <c r="H60" s="441">
        <f>+'T1 příjmy '!H58-'T4 výdaje '!H58</f>
        <v>-295000000000</v>
      </c>
      <c r="I60" s="442">
        <f>+'T1 příjmy '!I58-'T4 výdaje '!I58</f>
        <v>-235000000000</v>
      </c>
      <c r="J60" s="236"/>
      <c r="K60" s="228"/>
    </row>
  </sheetData>
  <printOptions horizontalCentered="1"/>
  <pageMargins left="0.43307086614173229" right="0.31496062992125984" top="0.42" bottom="0.59055118110236227" header="0.28999999999999998" footer="0.31496062992125984"/>
  <pageSetup paperSize="9" scale="6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zoomScale="85" zoomScaleNormal="85" workbookViewId="0">
      <pane xSplit="3" ySplit="7" topLeftCell="D8" activePane="bottomRight" state="frozen"/>
      <selection activeCell="L62" sqref="L62"/>
      <selection pane="topRight" activeCell="L62" sqref="L62"/>
      <selection pane="bottomLeft" activeCell="L62" sqref="L62"/>
      <selection pane="bottomRight"/>
    </sheetView>
  </sheetViews>
  <sheetFormatPr defaultColWidth="9.33203125" defaultRowHeight="12.75" x14ac:dyDescent="0.2"/>
  <cols>
    <col min="1" max="1" width="3.33203125" style="66" customWidth="1"/>
    <col min="2" max="2" width="10.5" style="66" bestFit="1" customWidth="1"/>
    <col min="3" max="3" width="45.1640625" style="66" customWidth="1"/>
    <col min="4" max="6" width="18.83203125" style="66" customWidth="1"/>
    <col min="7" max="11" width="18.83203125" style="227" customWidth="1"/>
    <col min="12" max="12" width="11.33203125" style="227" customWidth="1"/>
    <col min="13" max="13" width="17.6640625" style="227" bestFit="1" customWidth="1"/>
    <col min="14" max="14" width="19.1640625" style="227" customWidth="1"/>
    <col min="15" max="15" width="16.33203125" style="227" bestFit="1" customWidth="1"/>
    <col min="16" max="16" width="17.6640625" style="227" customWidth="1"/>
    <col min="17" max="16384" width="9.33203125" style="66"/>
  </cols>
  <sheetData>
    <row r="1" spans="1:16" s="227" customFormat="1" x14ac:dyDescent="0.2">
      <c r="A1" s="66"/>
      <c r="D1" s="228"/>
      <c r="E1" s="228"/>
      <c r="F1" s="228"/>
      <c r="G1" s="228"/>
      <c r="K1" s="227" t="s">
        <v>58</v>
      </c>
    </row>
    <row r="2" spans="1:16" s="227" customFormat="1" x14ac:dyDescent="0.2">
      <c r="A2" s="66"/>
      <c r="M2" s="228"/>
      <c r="N2" s="228"/>
      <c r="O2" s="228"/>
    </row>
    <row r="3" spans="1:16" s="227" customFormat="1" ht="15" x14ac:dyDescent="0.25">
      <c r="A3" s="66"/>
      <c r="C3" s="229" t="s">
        <v>342</v>
      </c>
    </row>
    <row r="4" spans="1:16" s="227" customFormat="1" x14ac:dyDescent="0.2">
      <c r="A4" s="66"/>
      <c r="C4" s="230" t="s">
        <v>54</v>
      </c>
      <c r="D4" s="228"/>
      <c r="E4" s="228"/>
      <c r="F4" s="228"/>
      <c r="G4" s="228"/>
      <c r="H4" s="228"/>
      <c r="I4" s="228"/>
      <c r="J4" s="228"/>
      <c r="K4" s="228"/>
      <c r="L4" s="228"/>
    </row>
    <row r="5" spans="1:16" s="227" customFormat="1" x14ac:dyDescent="0.2">
      <c r="A5" s="66"/>
      <c r="C5" s="453"/>
      <c r="D5" s="453"/>
      <c r="E5" s="453"/>
      <c r="F5" s="453"/>
      <c r="G5" s="250"/>
      <c r="H5" s="250"/>
      <c r="I5" s="397"/>
      <c r="J5" s="397"/>
      <c r="K5" s="397"/>
      <c r="L5" s="397"/>
    </row>
    <row r="6" spans="1:16" s="227" customFormat="1" ht="13.5" thickBot="1" x14ac:dyDescent="0.25">
      <c r="A6" s="66"/>
      <c r="J6" s="231"/>
      <c r="K6" s="231" t="s">
        <v>2</v>
      </c>
    </row>
    <row r="7" spans="1:16" s="227" customFormat="1" ht="41.25" customHeight="1" thickBot="1" x14ac:dyDescent="0.25">
      <c r="A7" s="66"/>
      <c r="B7" s="232" t="s">
        <v>3</v>
      </c>
      <c r="C7" s="233" t="s">
        <v>4</v>
      </c>
      <c r="D7" s="81" t="s">
        <v>5</v>
      </c>
      <c r="E7" s="206" t="s">
        <v>259</v>
      </c>
      <c r="F7" s="206" t="s">
        <v>260</v>
      </c>
      <c r="G7" s="206" t="s">
        <v>330</v>
      </c>
      <c r="H7" s="81">
        <v>2023</v>
      </c>
      <c r="I7" s="81">
        <v>2024</v>
      </c>
      <c r="J7" s="81">
        <v>2025</v>
      </c>
      <c r="K7" s="419">
        <v>2026</v>
      </c>
      <c r="L7" s="398" t="s">
        <v>114</v>
      </c>
      <c r="M7" s="398" t="s">
        <v>261</v>
      </c>
      <c r="N7" s="206" t="s">
        <v>332</v>
      </c>
      <c r="O7" s="398" t="s">
        <v>262</v>
      </c>
      <c r="P7" s="261" t="s">
        <v>333</v>
      </c>
    </row>
    <row r="8" spans="1:16" x14ac:dyDescent="0.2">
      <c r="B8" s="444">
        <v>301</v>
      </c>
      <c r="C8" s="434" t="s">
        <v>6</v>
      </c>
      <c r="D8" s="234">
        <v>441190489.55000001</v>
      </c>
      <c r="E8" s="234">
        <v>654417059.98000002</v>
      </c>
      <c r="F8" s="234">
        <v>619507729.36000013</v>
      </c>
      <c r="G8" s="234">
        <v>395339392.13000005</v>
      </c>
      <c r="H8" s="234">
        <v>431517595</v>
      </c>
      <c r="I8" s="234">
        <v>411332032</v>
      </c>
      <c r="J8" s="234">
        <v>421655097</v>
      </c>
      <c r="K8" s="234">
        <v>421655097</v>
      </c>
      <c r="L8" s="420">
        <f>+I8/H8*100</f>
        <v>95.32219236622322</v>
      </c>
      <c r="M8" s="234">
        <f>+I8-H8</f>
        <v>-20185563</v>
      </c>
      <c r="N8" s="234">
        <f>+I8-G8</f>
        <v>15992639.869999945</v>
      </c>
      <c r="O8" s="234">
        <f>+J8-I8</f>
        <v>10323065</v>
      </c>
      <c r="P8" s="421">
        <f>+K8-J8</f>
        <v>0</v>
      </c>
    </row>
    <row r="9" spans="1:16" x14ac:dyDescent="0.2">
      <c r="B9" s="445">
        <v>302</v>
      </c>
      <c r="C9" s="435" t="s">
        <v>7</v>
      </c>
      <c r="D9" s="130">
        <v>1353885285.6900001</v>
      </c>
      <c r="E9" s="130">
        <v>1345130703.5599999</v>
      </c>
      <c r="F9" s="130">
        <v>1460386757.3800001</v>
      </c>
      <c r="G9" s="130">
        <v>1509162084.2200003</v>
      </c>
      <c r="H9" s="130">
        <v>1552674530</v>
      </c>
      <c r="I9" s="422">
        <v>1488833262</v>
      </c>
      <c r="J9" s="130">
        <v>1488236393</v>
      </c>
      <c r="K9" s="422">
        <v>1469736393</v>
      </c>
      <c r="L9" s="415">
        <f t="shared" ref="L9:L58" si="0">+I9/H9*100</f>
        <v>95.888303262113794</v>
      </c>
      <c r="M9" s="130">
        <f t="shared" ref="M9:M58" si="1">+I9-H9</f>
        <v>-63841268</v>
      </c>
      <c r="N9" s="130">
        <f t="shared" ref="N9:N55" si="2">+I9-G9</f>
        <v>-20328822.220000267</v>
      </c>
      <c r="O9" s="130">
        <f t="shared" ref="O9:O58" si="3">+J9-I9</f>
        <v>-596869</v>
      </c>
      <c r="P9" s="423">
        <f t="shared" ref="P9:P58" si="4">+K9-J9</f>
        <v>-18500000</v>
      </c>
    </row>
    <row r="10" spans="1:16" x14ac:dyDescent="0.2">
      <c r="B10" s="445">
        <v>303</v>
      </c>
      <c r="C10" s="435" t="s">
        <v>8</v>
      </c>
      <c r="D10" s="130">
        <v>611049284.44000006</v>
      </c>
      <c r="E10" s="130">
        <v>615883533.99000001</v>
      </c>
      <c r="F10" s="130">
        <v>662823428.24000013</v>
      </c>
      <c r="G10" s="130">
        <v>678727210.93000007</v>
      </c>
      <c r="H10" s="130">
        <v>661350102</v>
      </c>
      <c r="I10" s="130">
        <v>640508651</v>
      </c>
      <c r="J10" s="130">
        <v>647206891</v>
      </c>
      <c r="K10" s="130">
        <v>647206891</v>
      </c>
      <c r="L10" s="415">
        <f t="shared" si="0"/>
        <v>96.848650822465586</v>
      </c>
      <c r="M10" s="130">
        <f t="shared" si="1"/>
        <v>-20841451</v>
      </c>
      <c r="N10" s="130">
        <f t="shared" si="2"/>
        <v>-38218559.930000067</v>
      </c>
      <c r="O10" s="130">
        <f t="shared" si="3"/>
        <v>6698240</v>
      </c>
      <c r="P10" s="423">
        <f t="shared" si="4"/>
        <v>0</v>
      </c>
    </row>
    <row r="11" spans="1:16" x14ac:dyDescent="0.2">
      <c r="B11" s="445">
        <v>304</v>
      </c>
      <c r="C11" s="435" t="s">
        <v>9</v>
      </c>
      <c r="D11" s="130">
        <v>1094907885.29</v>
      </c>
      <c r="E11" s="130">
        <v>1013324391.72</v>
      </c>
      <c r="F11" s="130">
        <v>1049477874.5800004</v>
      </c>
      <c r="G11" s="130">
        <v>1610447614.3100011</v>
      </c>
      <c r="H11" s="130">
        <v>1386438701</v>
      </c>
      <c r="I11" s="130">
        <v>915527661</v>
      </c>
      <c r="J11" s="130">
        <v>943807463</v>
      </c>
      <c r="K11" s="130">
        <v>913807463</v>
      </c>
      <c r="L11" s="415">
        <f t="shared" si="0"/>
        <v>66.034485357315489</v>
      </c>
      <c r="M11" s="130">
        <f t="shared" si="1"/>
        <v>-470911040</v>
      </c>
      <c r="N11" s="130">
        <f t="shared" si="2"/>
        <v>-694919953.31000113</v>
      </c>
      <c r="O11" s="130">
        <f t="shared" si="3"/>
        <v>28279802</v>
      </c>
      <c r="P11" s="423">
        <f t="shared" si="4"/>
        <v>-30000000</v>
      </c>
    </row>
    <row r="12" spans="1:16" x14ac:dyDescent="0.2">
      <c r="B12" s="445">
        <v>305</v>
      </c>
      <c r="C12" s="435" t="s">
        <v>10</v>
      </c>
      <c r="D12" s="130">
        <v>2029210825.48</v>
      </c>
      <c r="E12" s="130">
        <v>2208003606.6500001</v>
      </c>
      <c r="F12" s="130">
        <v>2260153773.8699999</v>
      </c>
      <c r="G12" s="130">
        <v>2484333909.6900001</v>
      </c>
      <c r="H12" s="130">
        <v>2227190270</v>
      </c>
      <c r="I12" s="130">
        <v>2094787270</v>
      </c>
      <c r="J12" s="130">
        <v>2099787270</v>
      </c>
      <c r="K12" s="130">
        <v>2099787270</v>
      </c>
      <c r="L12" s="415">
        <f t="shared" si="0"/>
        <v>94.055155422351945</v>
      </c>
      <c r="M12" s="130">
        <f t="shared" si="1"/>
        <v>-132403000</v>
      </c>
      <c r="N12" s="130">
        <f t="shared" si="2"/>
        <v>-389546639.69000006</v>
      </c>
      <c r="O12" s="130">
        <f t="shared" si="3"/>
        <v>5000000</v>
      </c>
      <c r="P12" s="423">
        <f t="shared" si="4"/>
        <v>0</v>
      </c>
    </row>
    <row r="13" spans="1:16" x14ac:dyDescent="0.2">
      <c r="B13" s="445">
        <v>306</v>
      </c>
      <c r="C13" s="435" t="s">
        <v>11</v>
      </c>
      <c r="D13" s="130">
        <v>7978091818.6599998</v>
      </c>
      <c r="E13" s="130">
        <v>8305146255.8199997</v>
      </c>
      <c r="F13" s="130">
        <v>8123741224.6899986</v>
      </c>
      <c r="G13" s="130">
        <v>8798894971.6899986</v>
      </c>
      <c r="H13" s="130">
        <v>9709590244</v>
      </c>
      <c r="I13" s="130">
        <v>8952754469</v>
      </c>
      <c r="J13" s="130">
        <v>8642715574</v>
      </c>
      <c r="K13" s="130">
        <v>8085692381</v>
      </c>
      <c r="L13" s="415">
        <f t="shared" si="0"/>
        <v>92.205275856335106</v>
      </c>
      <c r="M13" s="130">
        <f t="shared" si="1"/>
        <v>-756835775</v>
      </c>
      <c r="N13" s="130">
        <f t="shared" si="2"/>
        <v>153859497.31000137</v>
      </c>
      <c r="O13" s="130">
        <f t="shared" si="3"/>
        <v>-310038895</v>
      </c>
      <c r="P13" s="423">
        <f t="shared" si="4"/>
        <v>-557023193</v>
      </c>
    </row>
    <row r="14" spans="1:16" x14ac:dyDescent="0.2">
      <c r="B14" s="445">
        <v>307</v>
      </c>
      <c r="C14" s="435" t="s">
        <v>12</v>
      </c>
      <c r="D14" s="130">
        <v>68295004971.449997</v>
      </c>
      <c r="E14" s="130">
        <v>74280024653.729996</v>
      </c>
      <c r="F14" s="130">
        <v>84798816890.170044</v>
      </c>
      <c r="G14" s="130">
        <v>90706036930.479767</v>
      </c>
      <c r="H14" s="130">
        <v>111800000000</v>
      </c>
      <c r="I14" s="130">
        <v>159780000000</v>
      </c>
      <c r="J14" s="130">
        <v>169000000000</v>
      </c>
      <c r="K14" s="130">
        <v>177100000000</v>
      </c>
      <c r="L14" s="415">
        <f t="shared" si="0"/>
        <v>142.91592128801432</v>
      </c>
      <c r="M14" s="130">
        <f t="shared" si="1"/>
        <v>47980000000</v>
      </c>
      <c r="N14" s="130">
        <f t="shared" si="2"/>
        <v>69073963069.520233</v>
      </c>
      <c r="O14" s="130">
        <f t="shared" si="3"/>
        <v>9220000000</v>
      </c>
      <c r="P14" s="423">
        <f t="shared" si="4"/>
        <v>8100000000</v>
      </c>
    </row>
    <row r="15" spans="1:16" x14ac:dyDescent="0.2">
      <c r="B15" s="445">
        <v>308</v>
      </c>
      <c r="C15" s="435" t="s">
        <v>13</v>
      </c>
      <c r="D15" s="130">
        <v>288830929.83999997</v>
      </c>
      <c r="E15" s="130">
        <v>291191677.44</v>
      </c>
      <c r="F15" s="130">
        <v>328305872.17999995</v>
      </c>
      <c r="G15" s="130">
        <v>294760380.7100001</v>
      </c>
      <c r="H15" s="130">
        <v>332031158</v>
      </c>
      <c r="I15" s="130">
        <v>303840873</v>
      </c>
      <c r="J15" s="130">
        <v>318838665</v>
      </c>
      <c r="K15" s="130">
        <v>318838665</v>
      </c>
      <c r="L15" s="415">
        <f t="shared" si="0"/>
        <v>91.509747106324284</v>
      </c>
      <c r="M15" s="130">
        <f t="shared" si="1"/>
        <v>-28190285</v>
      </c>
      <c r="N15" s="130">
        <f t="shared" si="2"/>
        <v>9080492.2899999022</v>
      </c>
      <c r="O15" s="130">
        <f t="shared" si="3"/>
        <v>14997792</v>
      </c>
      <c r="P15" s="423">
        <f t="shared" si="4"/>
        <v>0</v>
      </c>
    </row>
    <row r="16" spans="1:16" x14ac:dyDescent="0.2">
      <c r="B16" s="445">
        <v>309</v>
      </c>
      <c r="C16" s="435" t="s">
        <v>14</v>
      </c>
      <c r="D16" s="130">
        <v>162533302.03999999</v>
      </c>
      <c r="E16" s="130">
        <v>152087651.16</v>
      </c>
      <c r="F16" s="130">
        <v>154638679.47999999</v>
      </c>
      <c r="G16" s="130">
        <v>152066060.63</v>
      </c>
      <c r="H16" s="130">
        <v>155245560</v>
      </c>
      <c r="I16" s="130">
        <v>148088292</v>
      </c>
      <c r="J16" s="130">
        <v>152638854</v>
      </c>
      <c r="K16" s="130">
        <v>152638854</v>
      </c>
      <c r="L16" s="415">
        <f t="shared" si="0"/>
        <v>95.389711628467836</v>
      </c>
      <c r="M16" s="130">
        <f t="shared" si="1"/>
        <v>-7157268</v>
      </c>
      <c r="N16" s="130">
        <f t="shared" si="2"/>
        <v>-3977768.6299999952</v>
      </c>
      <c r="O16" s="130">
        <f t="shared" si="3"/>
        <v>4550562</v>
      </c>
      <c r="P16" s="423">
        <f t="shared" si="4"/>
        <v>0</v>
      </c>
    </row>
    <row r="17" spans="2:16" x14ac:dyDescent="0.2">
      <c r="B17" s="445">
        <v>312</v>
      </c>
      <c r="C17" s="435" t="s">
        <v>15</v>
      </c>
      <c r="D17" s="130">
        <v>22813342485.509998</v>
      </c>
      <c r="E17" s="130">
        <v>25356880507.73</v>
      </c>
      <c r="F17" s="130">
        <v>23706326870.320007</v>
      </c>
      <c r="G17" s="130">
        <v>23939871685.809998</v>
      </c>
      <c r="H17" s="130">
        <v>23644555715</v>
      </c>
      <c r="I17" s="130">
        <v>22675652795</v>
      </c>
      <c r="J17" s="130">
        <v>23467608201</v>
      </c>
      <c r="K17" s="130">
        <v>23410745773</v>
      </c>
      <c r="L17" s="415">
        <f t="shared" si="0"/>
        <v>95.902215581131287</v>
      </c>
      <c r="M17" s="130">
        <f t="shared" si="1"/>
        <v>-968902920</v>
      </c>
      <c r="N17" s="130">
        <f t="shared" si="2"/>
        <v>-1264218890.8099976</v>
      </c>
      <c r="O17" s="130">
        <f t="shared" si="3"/>
        <v>791955406</v>
      </c>
      <c r="P17" s="423">
        <f t="shared" si="4"/>
        <v>-56862428</v>
      </c>
    </row>
    <row r="18" spans="2:16" x14ac:dyDescent="0.2">
      <c r="B18" s="445">
        <v>313</v>
      </c>
      <c r="C18" s="435" t="s">
        <v>16</v>
      </c>
      <c r="D18" s="130">
        <v>630547372527.85999</v>
      </c>
      <c r="E18" s="130">
        <v>740737240956.36987</v>
      </c>
      <c r="F18" s="130">
        <v>754517994029.84998</v>
      </c>
      <c r="G18" s="130">
        <v>805091995490.68042</v>
      </c>
      <c r="H18" s="130">
        <v>892472423590</v>
      </c>
      <c r="I18" s="130">
        <v>918551833084</v>
      </c>
      <c r="J18" s="130">
        <v>932418325990</v>
      </c>
      <c r="K18" s="130">
        <v>952767325990</v>
      </c>
      <c r="L18" s="415">
        <f t="shared" si="0"/>
        <v>102.92215297690596</v>
      </c>
      <c r="M18" s="130">
        <f t="shared" si="1"/>
        <v>26079409494</v>
      </c>
      <c r="N18" s="130">
        <f t="shared" si="2"/>
        <v>113459837593.31958</v>
      </c>
      <c r="O18" s="130">
        <f t="shared" si="3"/>
        <v>13866492906</v>
      </c>
      <c r="P18" s="423">
        <f t="shared" si="4"/>
        <v>20349000000</v>
      </c>
    </row>
    <row r="19" spans="2:16" x14ac:dyDescent="0.2">
      <c r="B19" s="445">
        <v>314</v>
      </c>
      <c r="C19" s="435" t="s">
        <v>17</v>
      </c>
      <c r="D19" s="130">
        <v>78998915917.699997</v>
      </c>
      <c r="E19" s="130">
        <v>91660877159.320007</v>
      </c>
      <c r="F19" s="130">
        <v>89887779943.200241</v>
      </c>
      <c r="G19" s="130">
        <v>90923891110.629929</v>
      </c>
      <c r="H19" s="130">
        <v>97483890000</v>
      </c>
      <c r="I19" s="130">
        <v>91494415577</v>
      </c>
      <c r="J19" s="130">
        <v>93772361304</v>
      </c>
      <c r="K19" s="130">
        <v>94396860464</v>
      </c>
      <c r="L19" s="415">
        <f t="shared" si="0"/>
        <v>93.855934121012197</v>
      </c>
      <c r="M19" s="130">
        <f t="shared" si="1"/>
        <v>-5989474423</v>
      </c>
      <c r="N19" s="130">
        <f t="shared" si="2"/>
        <v>570524466.37007141</v>
      </c>
      <c r="O19" s="130">
        <f t="shared" si="3"/>
        <v>2277945727</v>
      </c>
      <c r="P19" s="423">
        <f t="shared" si="4"/>
        <v>624499160</v>
      </c>
    </row>
    <row r="20" spans="2:16" x14ac:dyDescent="0.2">
      <c r="B20" s="445">
        <v>315</v>
      </c>
      <c r="C20" s="435" t="s">
        <v>18</v>
      </c>
      <c r="D20" s="130">
        <v>5943280999.1000004</v>
      </c>
      <c r="E20" s="130">
        <v>7492382351.1800003</v>
      </c>
      <c r="F20" s="130">
        <v>8026395224.1199999</v>
      </c>
      <c r="G20" s="130">
        <v>7460532057.1600046</v>
      </c>
      <c r="H20" s="130">
        <v>8146282389</v>
      </c>
      <c r="I20" s="130">
        <v>4206091154</v>
      </c>
      <c r="J20" s="130">
        <v>3674997245</v>
      </c>
      <c r="K20" s="130">
        <v>3674997245</v>
      </c>
      <c r="L20" s="415">
        <f t="shared" si="0"/>
        <v>51.632032295854657</v>
      </c>
      <c r="M20" s="130">
        <f t="shared" si="1"/>
        <v>-3940191235</v>
      </c>
      <c r="N20" s="130">
        <f t="shared" si="2"/>
        <v>-3254440903.1600046</v>
      </c>
      <c r="O20" s="130">
        <f t="shared" si="3"/>
        <v>-531093909</v>
      </c>
      <c r="P20" s="423">
        <f t="shared" si="4"/>
        <v>0</v>
      </c>
    </row>
    <row r="21" spans="2:16" x14ac:dyDescent="0.2">
      <c r="B21" s="445">
        <v>317</v>
      </c>
      <c r="C21" s="435" t="s">
        <v>19</v>
      </c>
      <c r="D21" s="130">
        <v>4646839124.5299997</v>
      </c>
      <c r="E21" s="130">
        <v>8291462693</v>
      </c>
      <c r="F21" s="130">
        <v>10535142849.599998</v>
      </c>
      <c r="G21" s="130">
        <v>8229981526.2900095</v>
      </c>
      <c r="H21" s="130">
        <v>5987462301</v>
      </c>
      <c r="I21" s="130">
        <v>3320617269</v>
      </c>
      <c r="J21" s="130">
        <v>3340296286</v>
      </c>
      <c r="K21" s="130">
        <v>3340296286</v>
      </c>
      <c r="L21" s="415">
        <f t="shared" si="0"/>
        <v>55.459510257716445</v>
      </c>
      <c r="M21" s="130">
        <f t="shared" si="1"/>
        <v>-2666845032</v>
      </c>
      <c r="N21" s="130">
        <f t="shared" si="2"/>
        <v>-4909364257.2900095</v>
      </c>
      <c r="O21" s="130">
        <f t="shared" si="3"/>
        <v>19679017</v>
      </c>
      <c r="P21" s="423">
        <f t="shared" si="4"/>
        <v>0</v>
      </c>
    </row>
    <row r="22" spans="2:16" x14ac:dyDescent="0.2">
      <c r="B22" s="445">
        <v>321</v>
      </c>
      <c r="C22" s="435" t="s">
        <v>20</v>
      </c>
      <c r="D22" s="130">
        <v>4343275649.75</v>
      </c>
      <c r="E22" s="130">
        <v>4486949780.8500004</v>
      </c>
      <c r="F22" s="130">
        <v>4530292878.579999</v>
      </c>
      <c r="G22" s="130">
        <v>4461512911.7200003</v>
      </c>
      <c r="H22" s="130">
        <v>4657413025</v>
      </c>
      <c r="I22" s="130">
        <v>4199357605</v>
      </c>
      <c r="J22" s="130">
        <v>4668418432</v>
      </c>
      <c r="K22" s="130">
        <v>4668418432</v>
      </c>
      <c r="L22" s="415">
        <f t="shared" si="0"/>
        <v>90.165024713478147</v>
      </c>
      <c r="M22" s="130">
        <f t="shared" si="1"/>
        <v>-458055420</v>
      </c>
      <c r="N22" s="130">
        <f t="shared" si="2"/>
        <v>-262155306.72000027</v>
      </c>
      <c r="O22" s="130">
        <f t="shared" si="3"/>
        <v>469060827</v>
      </c>
      <c r="P22" s="423">
        <f t="shared" si="4"/>
        <v>0</v>
      </c>
    </row>
    <row r="23" spans="2:16" x14ac:dyDescent="0.2">
      <c r="B23" s="445">
        <v>322</v>
      </c>
      <c r="C23" s="435" t="s">
        <v>21</v>
      </c>
      <c r="D23" s="130">
        <v>36330266189.57</v>
      </c>
      <c r="E23" s="130">
        <v>42510816052.309998</v>
      </c>
      <c r="F23" s="130">
        <v>67387030484.500023</v>
      </c>
      <c r="G23" s="130">
        <v>58797918324.549957</v>
      </c>
      <c r="H23" s="130">
        <v>33571325883</v>
      </c>
      <c r="I23" s="130">
        <v>10609265810</v>
      </c>
      <c r="J23" s="130">
        <v>18411719718</v>
      </c>
      <c r="K23" s="130">
        <v>18811719718</v>
      </c>
      <c r="L23" s="415">
        <f t="shared" si="0"/>
        <v>31.602165035049651</v>
      </c>
      <c r="M23" s="130">
        <f t="shared" si="1"/>
        <v>-22962060073</v>
      </c>
      <c r="N23" s="130">
        <f t="shared" si="2"/>
        <v>-48188652514.549957</v>
      </c>
      <c r="O23" s="130">
        <f t="shared" si="3"/>
        <v>7802453908</v>
      </c>
      <c r="P23" s="423">
        <f t="shared" si="4"/>
        <v>400000000</v>
      </c>
    </row>
    <row r="24" spans="2:16" x14ac:dyDescent="0.2">
      <c r="B24" s="445">
        <v>327</v>
      </c>
      <c r="C24" s="435" t="s">
        <v>22</v>
      </c>
      <c r="D24" s="130">
        <v>57483194336.160004</v>
      </c>
      <c r="E24" s="130">
        <v>81069421525.550003</v>
      </c>
      <c r="F24" s="130">
        <v>76044429821.380035</v>
      </c>
      <c r="G24" s="130">
        <v>68117255652.939995</v>
      </c>
      <c r="H24" s="130">
        <v>83914103649</v>
      </c>
      <c r="I24" s="130">
        <v>71841384228</v>
      </c>
      <c r="J24" s="130">
        <v>72151668626</v>
      </c>
      <c r="K24" s="130">
        <v>72118630626</v>
      </c>
      <c r="L24" s="415">
        <f t="shared" si="0"/>
        <v>85.613003182994888</v>
      </c>
      <c r="M24" s="130">
        <f t="shared" si="1"/>
        <v>-12072719421</v>
      </c>
      <c r="N24" s="130">
        <f t="shared" si="2"/>
        <v>3724128575.0600052</v>
      </c>
      <c r="O24" s="130">
        <f t="shared" si="3"/>
        <v>310284398</v>
      </c>
      <c r="P24" s="423">
        <f t="shared" si="4"/>
        <v>-33038000</v>
      </c>
    </row>
    <row r="25" spans="2:16" x14ac:dyDescent="0.2">
      <c r="B25" s="445">
        <v>328</v>
      </c>
      <c r="C25" s="435" t="s">
        <v>23</v>
      </c>
      <c r="D25" s="130">
        <v>1168760102.04</v>
      </c>
      <c r="E25" s="130">
        <v>967222568.85000002</v>
      </c>
      <c r="F25" s="130">
        <v>697117241.38999999</v>
      </c>
      <c r="G25" s="130">
        <v>7453056163.9499998</v>
      </c>
      <c r="H25" s="130">
        <v>2222277137</v>
      </c>
      <c r="I25" s="130">
        <v>2176944077</v>
      </c>
      <c r="J25" s="130">
        <v>2194017708</v>
      </c>
      <c r="K25" s="130">
        <v>2194017708</v>
      </c>
      <c r="L25" s="415">
        <f t="shared" si="0"/>
        <v>97.96006271021632</v>
      </c>
      <c r="M25" s="130">
        <f t="shared" si="1"/>
        <v>-45333060</v>
      </c>
      <c r="N25" s="130">
        <f t="shared" si="2"/>
        <v>-5276112086.9499998</v>
      </c>
      <c r="O25" s="130">
        <f t="shared" si="3"/>
        <v>17073631</v>
      </c>
      <c r="P25" s="423">
        <f t="shared" si="4"/>
        <v>0</v>
      </c>
    </row>
    <row r="26" spans="2:16" x14ac:dyDescent="0.2">
      <c r="B26" s="445">
        <v>329</v>
      </c>
      <c r="C26" s="435" t="s">
        <v>24</v>
      </c>
      <c r="D26" s="130">
        <v>29861826553.09</v>
      </c>
      <c r="E26" s="130">
        <v>36162344816.489998</v>
      </c>
      <c r="F26" s="130">
        <v>34338694296.450008</v>
      </c>
      <c r="G26" s="130">
        <v>30056626253.249985</v>
      </c>
      <c r="H26" s="130">
        <v>23792650040</v>
      </c>
      <c r="I26" s="130">
        <v>18575406862</v>
      </c>
      <c r="J26" s="130">
        <v>18860487744</v>
      </c>
      <c r="K26" s="130">
        <v>18785487744</v>
      </c>
      <c r="L26" s="415">
        <f t="shared" si="0"/>
        <v>78.072038342812519</v>
      </c>
      <c r="M26" s="130">
        <f t="shared" si="1"/>
        <v>-5217243178</v>
      </c>
      <c r="N26" s="130">
        <f t="shared" si="2"/>
        <v>-11481219391.249985</v>
      </c>
      <c r="O26" s="130">
        <f t="shared" si="3"/>
        <v>285080882</v>
      </c>
      <c r="P26" s="423">
        <f t="shared" si="4"/>
        <v>-75000000</v>
      </c>
    </row>
    <row r="27" spans="2:16" x14ac:dyDescent="0.2">
      <c r="B27" s="445">
        <v>333</v>
      </c>
      <c r="C27" s="435" t="s">
        <v>25</v>
      </c>
      <c r="D27" s="130">
        <v>194081671109.51001</v>
      </c>
      <c r="E27" s="130">
        <v>214778350829.76001</v>
      </c>
      <c r="F27" s="130">
        <v>228837497833.53</v>
      </c>
      <c r="G27" s="130">
        <v>237999109016.93985</v>
      </c>
      <c r="H27" s="130">
        <v>254741052907</v>
      </c>
      <c r="I27" s="130">
        <v>225826478002</v>
      </c>
      <c r="J27" s="130">
        <v>236823712132</v>
      </c>
      <c r="K27" s="130">
        <v>236279712132</v>
      </c>
      <c r="L27" s="415">
        <f t="shared" si="0"/>
        <v>88.649424749156537</v>
      </c>
      <c r="M27" s="130">
        <f t="shared" si="1"/>
        <v>-28914574905</v>
      </c>
      <c r="N27" s="130">
        <f t="shared" si="2"/>
        <v>-12172631014.93985</v>
      </c>
      <c r="O27" s="130">
        <f t="shared" si="3"/>
        <v>10997234130</v>
      </c>
      <c r="P27" s="423">
        <f t="shared" si="4"/>
        <v>-544000000</v>
      </c>
    </row>
    <row r="28" spans="2:16" x14ac:dyDescent="0.2">
      <c r="B28" s="445">
        <v>334</v>
      </c>
      <c r="C28" s="435" t="s">
        <v>26</v>
      </c>
      <c r="D28" s="130">
        <v>14877986113.690001</v>
      </c>
      <c r="E28" s="130">
        <v>15340834093.200001</v>
      </c>
      <c r="F28" s="130">
        <v>16129255539.169998</v>
      </c>
      <c r="G28" s="130">
        <v>14720215377.939999</v>
      </c>
      <c r="H28" s="130">
        <v>15900291188</v>
      </c>
      <c r="I28" s="130">
        <v>14641497826</v>
      </c>
      <c r="J28" s="130">
        <v>16142786750</v>
      </c>
      <c r="K28" s="130">
        <v>15551495322</v>
      </c>
      <c r="L28" s="415">
        <f t="shared" si="0"/>
        <v>92.083205602234415</v>
      </c>
      <c r="M28" s="130">
        <f t="shared" si="1"/>
        <v>-1258793362</v>
      </c>
      <c r="N28" s="130">
        <f t="shared" si="2"/>
        <v>-78717551.939998627</v>
      </c>
      <c r="O28" s="130">
        <f t="shared" si="3"/>
        <v>1501288924</v>
      </c>
      <c r="P28" s="423">
        <f t="shared" si="4"/>
        <v>-591291428</v>
      </c>
    </row>
    <row r="29" spans="2:16" x14ac:dyDescent="0.2">
      <c r="B29" s="445">
        <v>335</v>
      </c>
      <c r="C29" s="435" t="s">
        <v>27</v>
      </c>
      <c r="D29" s="130">
        <v>7583175555.9899998</v>
      </c>
      <c r="E29" s="130">
        <v>30527623681.82</v>
      </c>
      <c r="F29" s="130">
        <v>29706414836.350006</v>
      </c>
      <c r="G29" s="130">
        <v>19198323030.480015</v>
      </c>
      <c r="H29" s="130">
        <v>11095083289</v>
      </c>
      <c r="I29" s="130">
        <v>7923660280</v>
      </c>
      <c r="J29" s="130">
        <v>9550322815</v>
      </c>
      <c r="K29" s="130">
        <v>8550322815</v>
      </c>
      <c r="L29" s="415">
        <f t="shared" si="0"/>
        <v>71.415960327722416</v>
      </c>
      <c r="M29" s="130">
        <f t="shared" si="1"/>
        <v>-3171423009</v>
      </c>
      <c r="N29" s="130">
        <f t="shared" si="2"/>
        <v>-11274662750.480015</v>
      </c>
      <c r="O29" s="130">
        <f t="shared" si="3"/>
        <v>1626662535</v>
      </c>
      <c r="P29" s="423">
        <f t="shared" si="4"/>
        <v>-1000000000</v>
      </c>
    </row>
    <row r="30" spans="2:16" x14ac:dyDescent="0.2">
      <c r="B30" s="445">
        <v>336</v>
      </c>
      <c r="C30" s="435" t="s">
        <v>28</v>
      </c>
      <c r="D30" s="130">
        <v>30695601329.040001</v>
      </c>
      <c r="E30" s="130">
        <v>32060083301.240002</v>
      </c>
      <c r="F30" s="130">
        <v>32533287839.200016</v>
      </c>
      <c r="G30" s="130">
        <v>33761209371.199966</v>
      </c>
      <c r="H30" s="130">
        <v>36431826152</v>
      </c>
      <c r="I30" s="130">
        <v>34097002082</v>
      </c>
      <c r="J30" s="130">
        <v>34641832920</v>
      </c>
      <c r="K30" s="130">
        <v>34323832920</v>
      </c>
      <c r="L30" s="415">
        <f t="shared" si="0"/>
        <v>93.591251615390618</v>
      </c>
      <c r="M30" s="130">
        <f t="shared" si="1"/>
        <v>-2334824070</v>
      </c>
      <c r="N30" s="130">
        <f t="shared" si="2"/>
        <v>335792710.80003357</v>
      </c>
      <c r="O30" s="130">
        <f t="shared" si="3"/>
        <v>544830838</v>
      </c>
      <c r="P30" s="423">
        <f t="shared" si="4"/>
        <v>-318000000</v>
      </c>
    </row>
    <row r="31" spans="2:16" x14ac:dyDescent="0.2">
      <c r="B31" s="445">
        <v>343</v>
      </c>
      <c r="C31" s="435" t="s">
        <v>29</v>
      </c>
      <c r="D31" s="130">
        <v>169618882.53999999</v>
      </c>
      <c r="E31" s="130">
        <v>179617661.59999999</v>
      </c>
      <c r="F31" s="130">
        <v>168667765.62</v>
      </c>
      <c r="G31" s="130">
        <v>167401392.59999999</v>
      </c>
      <c r="H31" s="130">
        <v>189695700</v>
      </c>
      <c r="I31" s="130">
        <v>175688298</v>
      </c>
      <c r="J31" s="130">
        <v>166276370</v>
      </c>
      <c r="K31" s="130">
        <v>166276370</v>
      </c>
      <c r="L31" s="415">
        <f t="shared" si="0"/>
        <v>92.615856869712914</v>
      </c>
      <c r="M31" s="130">
        <f t="shared" si="1"/>
        <v>-14007402</v>
      </c>
      <c r="N31" s="130">
        <f t="shared" si="2"/>
        <v>8286905.400000006</v>
      </c>
      <c r="O31" s="130">
        <f t="shared" si="3"/>
        <v>-9411928</v>
      </c>
      <c r="P31" s="423">
        <f t="shared" si="4"/>
        <v>0</v>
      </c>
    </row>
    <row r="32" spans="2:16" x14ac:dyDescent="0.2">
      <c r="B32" s="445">
        <v>344</v>
      </c>
      <c r="C32" s="435" t="s">
        <v>30</v>
      </c>
      <c r="D32" s="130">
        <v>189748980.13999999</v>
      </c>
      <c r="E32" s="130">
        <v>202016676.31999999</v>
      </c>
      <c r="F32" s="130">
        <v>196878369.09</v>
      </c>
      <c r="G32" s="130">
        <v>189876206.40000001</v>
      </c>
      <c r="H32" s="130">
        <v>212618780</v>
      </c>
      <c r="I32" s="130">
        <v>195238566</v>
      </c>
      <c r="J32" s="130">
        <v>201480508</v>
      </c>
      <c r="K32" s="130">
        <v>201480508</v>
      </c>
      <c r="L32" s="415">
        <f t="shared" si="0"/>
        <v>91.825644940677392</v>
      </c>
      <c r="M32" s="130">
        <f t="shared" si="1"/>
        <v>-17380214</v>
      </c>
      <c r="N32" s="130">
        <f t="shared" si="2"/>
        <v>5362359.599999994</v>
      </c>
      <c r="O32" s="130">
        <f t="shared" si="3"/>
        <v>6241942</v>
      </c>
      <c r="P32" s="423">
        <f t="shared" si="4"/>
        <v>0</v>
      </c>
    </row>
    <row r="33" spans="2:16" x14ac:dyDescent="0.2">
      <c r="B33" s="445">
        <v>345</v>
      </c>
      <c r="C33" s="435" t="s">
        <v>31</v>
      </c>
      <c r="D33" s="130">
        <v>1358090967</v>
      </c>
      <c r="E33" s="130">
        <v>1776654319.74</v>
      </c>
      <c r="F33" s="130">
        <v>2259482713.7600007</v>
      </c>
      <c r="G33" s="130">
        <v>1307856289.0799999</v>
      </c>
      <c r="H33" s="130">
        <v>1205795319</v>
      </c>
      <c r="I33" s="130">
        <v>1080493559</v>
      </c>
      <c r="J33" s="130">
        <v>1115425337</v>
      </c>
      <c r="K33" s="130">
        <v>1115425337</v>
      </c>
      <c r="L33" s="415">
        <f t="shared" si="0"/>
        <v>89.608372331058945</v>
      </c>
      <c r="M33" s="130">
        <f t="shared" si="1"/>
        <v>-125301760</v>
      </c>
      <c r="N33" s="130">
        <f t="shared" si="2"/>
        <v>-227362730.07999992</v>
      </c>
      <c r="O33" s="130">
        <f t="shared" si="3"/>
        <v>34931778</v>
      </c>
      <c r="P33" s="423">
        <f t="shared" si="4"/>
        <v>0</v>
      </c>
    </row>
    <row r="34" spans="2:16" x14ac:dyDescent="0.2">
      <c r="B34" s="445">
        <v>346</v>
      </c>
      <c r="C34" s="435" t="s">
        <v>32</v>
      </c>
      <c r="D34" s="130">
        <v>3523710778.27</v>
      </c>
      <c r="E34" s="130">
        <v>3589049607.5100002</v>
      </c>
      <c r="F34" s="130">
        <v>3617948780.6800027</v>
      </c>
      <c r="G34" s="130">
        <v>3636170782.52</v>
      </c>
      <c r="H34" s="130">
        <v>3884890477</v>
      </c>
      <c r="I34" s="130">
        <v>3560183908</v>
      </c>
      <c r="J34" s="130">
        <v>3667493281</v>
      </c>
      <c r="K34" s="130">
        <v>3667493281</v>
      </c>
      <c r="L34" s="415">
        <f t="shared" si="0"/>
        <v>91.641808928143959</v>
      </c>
      <c r="M34" s="130">
        <f t="shared" si="1"/>
        <v>-324706569</v>
      </c>
      <c r="N34" s="130">
        <f t="shared" si="2"/>
        <v>-75986874.519999981</v>
      </c>
      <c r="O34" s="130">
        <f t="shared" si="3"/>
        <v>107309373</v>
      </c>
      <c r="P34" s="423">
        <f t="shared" si="4"/>
        <v>0</v>
      </c>
    </row>
    <row r="35" spans="2:16" x14ac:dyDescent="0.2">
      <c r="B35" s="445">
        <v>348</v>
      </c>
      <c r="C35" s="435" t="s">
        <v>33</v>
      </c>
      <c r="D35" s="130">
        <v>185212031.83000001</v>
      </c>
      <c r="E35" s="130">
        <v>190713624.44</v>
      </c>
      <c r="F35" s="130">
        <v>175527711.09999999</v>
      </c>
      <c r="G35" s="130">
        <v>170522264.03999999</v>
      </c>
      <c r="H35" s="130">
        <v>189507591</v>
      </c>
      <c r="I35" s="130">
        <v>165917497</v>
      </c>
      <c r="J35" s="130">
        <v>172138154</v>
      </c>
      <c r="K35" s="130">
        <v>172138154</v>
      </c>
      <c r="L35" s="415">
        <f t="shared" si="0"/>
        <v>87.551900229685259</v>
      </c>
      <c r="M35" s="130">
        <f t="shared" si="1"/>
        <v>-23590094</v>
      </c>
      <c r="N35" s="130">
        <f t="shared" si="2"/>
        <v>-4604767.0399999917</v>
      </c>
      <c r="O35" s="130">
        <f t="shared" si="3"/>
        <v>6220657</v>
      </c>
      <c r="P35" s="423">
        <f t="shared" si="4"/>
        <v>0</v>
      </c>
    </row>
    <row r="36" spans="2:16" x14ac:dyDescent="0.2">
      <c r="B36" s="445">
        <v>349</v>
      </c>
      <c r="C36" s="435" t="s">
        <v>34</v>
      </c>
      <c r="D36" s="130">
        <v>312466225.38</v>
      </c>
      <c r="E36" s="130">
        <v>292261685.31999999</v>
      </c>
      <c r="F36" s="130">
        <v>285861686.74000001</v>
      </c>
      <c r="G36" s="130">
        <v>298984414.40000004</v>
      </c>
      <c r="H36" s="130">
        <v>306643922</v>
      </c>
      <c r="I36" s="130">
        <v>294738279</v>
      </c>
      <c r="J36" s="130">
        <v>304203373</v>
      </c>
      <c r="K36" s="130">
        <v>304203373</v>
      </c>
      <c r="L36" s="415">
        <f t="shared" si="0"/>
        <v>96.11743714913743</v>
      </c>
      <c r="M36" s="130">
        <f t="shared" si="1"/>
        <v>-11905643</v>
      </c>
      <c r="N36" s="130">
        <f t="shared" si="2"/>
        <v>-4246135.4000000358</v>
      </c>
      <c r="O36" s="130">
        <f t="shared" si="3"/>
        <v>9465094</v>
      </c>
      <c r="P36" s="423">
        <f t="shared" si="4"/>
        <v>0</v>
      </c>
    </row>
    <row r="37" spans="2:16" x14ac:dyDescent="0.2">
      <c r="B37" s="445">
        <v>353</v>
      </c>
      <c r="C37" s="435" t="s">
        <v>35</v>
      </c>
      <c r="D37" s="130">
        <v>269368613.63</v>
      </c>
      <c r="E37" s="130">
        <v>265147825.88</v>
      </c>
      <c r="F37" s="130">
        <v>266779727.13999999</v>
      </c>
      <c r="G37" s="130">
        <v>270807514.21000004</v>
      </c>
      <c r="H37" s="130">
        <v>273353093</v>
      </c>
      <c r="I37" s="130">
        <v>239858903</v>
      </c>
      <c r="J37" s="130">
        <v>247364495</v>
      </c>
      <c r="K37" s="130">
        <v>247364495</v>
      </c>
      <c r="L37" s="415">
        <f t="shared" si="0"/>
        <v>87.746913842310164</v>
      </c>
      <c r="M37" s="130">
        <f t="shared" si="1"/>
        <v>-33494190</v>
      </c>
      <c r="N37" s="130">
        <f t="shared" si="2"/>
        <v>-30948611.210000038</v>
      </c>
      <c r="O37" s="130">
        <f t="shared" si="3"/>
        <v>7505592</v>
      </c>
      <c r="P37" s="423">
        <f t="shared" si="4"/>
        <v>0</v>
      </c>
    </row>
    <row r="38" spans="2:16" x14ac:dyDescent="0.2">
      <c r="B38" s="445">
        <v>355</v>
      </c>
      <c r="C38" s="435" t="s">
        <v>36</v>
      </c>
      <c r="D38" s="130">
        <v>199871060.44999999</v>
      </c>
      <c r="E38" s="130">
        <v>207345790.03</v>
      </c>
      <c r="F38" s="130">
        <v>198079793.06999999</v>
      </c>
      <c r="G38" s="130">
        <v>209817903.44999999</v>
      </c>
      <c r="H38" s="130">
        <v>193808789</v>
      </c>
      <c r="I38" s="130">
        <v>176247018</v>
      </c>
      <c r="J38" s="130">
        <v>182414497</v>
      </c>
      <c r="K38" s="130">
        <v>182414497</v>
      </c>
      <c r="L38" s="415">
        <f t="shared" si="0"/>
        <v>90.93860960041394</v>
      </c>
      <c r="M38" s="130">
        <f t="shared" si="1"/>
        <v>-17561771</v>
      </c>
      <c r="N38" s="130">
        <f t="shared" si="2"/>
        <v>-33570885.449999988</v>
      </c>
      <c r="O38" s="130">
        <f t="shared" si="3"/>
        <v>6167479</v>
      </c>
      <c r="P38" s="423">
        <f t="shared" si="4"/>
        <v>0</v>
      </c>
    </row>
    <row r="39" spans="2:16" x14ac:dyDescent="0.2">
      <c r="B39" s="445">
        <v>358</v>
      </c>
      <c r="C39" s="435" t="s">
        <v>37</v>
      </c>
      <c r="D39" s="130">
        <v>214508803.74000001</v>
      </c>
      <c r="E39" s="130">
        <v>238791520.03999999</v>
      </c>
      <c r="F39" s="130">
        <v>232310317.92000002</v>
      </c>
      <c r="G39" s="130">
        <v>230773730.74000001</v>
      </c>
      <c r="H39" s="130">
        <v>241412885</v>
      </c>
      <c r="I39" s="130">
        <v>238036655</v>
      </c>
      <c r="J39" s="130">
        <v>226979144</v>
      </c>
      <c r="K39" s="130">
        <v>208209144</v>
      </c>
      <c r="L39" s="415">
        <f t="shared" si="0"/>
        <v>98.601470671294123</v>
      </c>
      <c r="M39" s="130">
        <f t="shared" si="1"/>
        <v>-3376230</v>
      </c>
      <c r="N39" s="130">
        <f t="shared" si="2"/>
        <v>7262924.2599999905</v>
      </c>
      <c r="O39" s="130">
        <f t="shared" si="3"/>
        <v>-11057511</v>
      </c>
      <c r="P39" s="423">
        <f t="shared" si="4"/>
        <v>-18770000</v>
      </c>
    </row>
    <row r="40" spans="2:16" x14ac:dyDescent="0.2">
      <c r="B40" s="445">
        <v>359</v>
      </c>
      <c r="C40" s="435" t="s">
        <v>38</v>
      </c>
      <c r="D40" s="130">
        <v>23210191.5</v>
      </c>
      <c r="E40" s="130">
        <v>22404323.309999999</v>
      </c>
      <c r="F40" s="130">
        <v>23738753.68</v>
      </c>
      <c r="G40" s="130">
        <v>24094734.329999998</v>
      </c>
      <c r="H40" s="130">
        <v>26286994</v>
      </c>
      <c r="I40" s="130">
        <v>25246019</v>
      </c>
      <c r="J40" s="130">
        <v>25684938</v>
      </c>
      <c r="K40" s="130">
        <v>25684938</v>
      </c>
      <c r="L40" s="415">
        <f t="shared" si="0"/>
        <v>96.039961815337278</v>
      </c>
      <c r="M40" s="130">
        <f t="shared" si="1"/>
        <v>-1040975</v>
      </c>
      <c r="N40" s="130">
        <f t="shared" si="2"/>
        <v>1151284.6700000018</v>
      </c>
      <c r="O40" s="130">
        <f t="shared" si="3"/>
        <v>438919</v>
      </c>
      <c r="P40" s="423">
        <f t="shared" si="4"/>
        <v>0</v>
      </c>
    </row>
    <row r="41" spans="2:16" x14ac:dyDescent="0.2">
      <c r="B41" s="445">
        <v>361</v>
      </c>
      <c r="C41" s="435" t="s">
        <v>39</v>
      </c>
      <c r="D41" s="130">
        <v>6093427633.9300003</v>
      </c>
      <c r="E41" s="130">
        <v>6667259771.1499996</v>
      </c>
      <c r="F41" s="130">
        <v>6947933945.3800001</v>
      </c>
      <c r="G41" s="130">
        <v>7099801273.5299997</v>
      </c>
      <c r="H41" s="130">
        <v>7177109835</v>
      </c>
      <c r="I41" s="130">
        <v>6565515965</v>
      </c>
      <c r="J41" s="130">
        <v>7298044519</v>
      </c>
      <c r="K41" s="130">
        <v>7298044519</v>
      </c>
      <c r="L41" s="415">
        <f t="shared" si="0"/>
        <v>91.478549387422049</v>
      </c>
      <c r="M41" s="130">
        <f t="shared" si="1"/>
        <v>-611593870</v>
      </c>
      <c r="N41" s="130">
        <f t="shared" si="2"/>
        <v>-534285308.52999973</v>
      </c>
      <c r="O41" s="130">
        <f t="shared" si="3"/>
        <v>732528554</v>
      </c>
      <c r="P41" s="423">
        <f t="shared" si="4"/>
        <v>0</v>
      </c>
    </row>
    <row r="42" spans="2:16" x14ac:dyDescent="0.2">
      <c r="B42" s="445">
        <v>362</v>
      </c>
      <c r="C42" s="435" t="s">
        <v>40</v>
      </c>
      <c r="D42" s="130">
        <v>8069760.8099999996</v>
      </c>
      <c r="E42" s="130">
        <v>216009063.05000001</v>
      </c>
      <c r="F42" s="130">
        <v>6148459610.8199968</v>
      </c>
      <c r="G42" s="130">
        <v>7091356180.7600021</v>
      </c>
      <c r="H42" s="130">
        <v>6908296695</v>
      </c>
      <c r="I42" s="130">
        <v>5200793736</v>
      </c>
      <c r="J42" s="130">
        <v>5203225897</v>
      </c>
      <c r="K42" s="130">
        <v>5203225897</v>
      </c>
      <c r="L42" s="415">
        <f t="shared" si="0"/>
        <v>75.283300147837679</v>
      </c>
      <c r="M42" s="130">
        <f t="shared" si="1"/>
        <v>-1707502959</v>
      </c>
      <c r="N42" s="130">
        <f t="shared" si="2"/>
        <v>-1890562444.7600021</v>
      </c>
      <c r="O42" s="130">
        <f t="shared" si="3"/>
        <v>2432161</v>
      </c>
      <c r="P42" s="423">
        <f t="shared" si="4"/>
        <v>0</v>
      </c>
    </row>
    <row r="43" spans="2:16" x14ac:dyDescent="0.2">
      <c r="B43" s="445">
        <v>364</v>
      </c>
      <c r="C43" s="435" t="s">
        <v>385</v>
      </c>
      <c r="D43" s="130">
        <v>0</v>
      </c>
      <c r="E43" s="130">
        <v>0</v>
      </c>
      <c r="F43" s="130">
        <v>0</v>
      </c>
      <c r="G43" s="130">
        <v>0</v>
      </c>
      <c r="H43" s="130">
        <v>0</v>
      </c>
      <c r="I43" s="130">
        <v>136536588</v>
      </c>
      <c r="J43" s="130">
        <v>142025289</v>
      </c>
      <c r="K43" s="130">
        <v>142025289</v>
      </c>
      <c r="L43" s="415"/>
      <c r="M43" s="130">
        <f t="shared" si="1"/>
        <v>136536588</v>
      </c>
      <c r="N43" s="130">
        <f t="shared" si="2"/>
        <v>136536588</v>
      </c>
      <c r="O43" s="130">
        <f t="shared" si="3"/>
        <v>5488701</v>
      </c>
      <c r="P43" s="423">
        <f t="shared" si="4"/>
        <v>0</v>
      </c>
    </row>
    <row r="44" spans="2:16" ht="25.5" x14ac:dyDescent="0.2">
      <c r="B44" s="445">
        <v>371</v>
      </c>
      <c r="C44" s="436" t="s">
        <v>41</v>
      </c>
      <c r="D44" s="130">
        <v>28158022.280000001</v>
      </c>
      <c r="E44" s="130">
        <v>23783650.109999999</v>
      </c>
      <c r="F44" s="130">
        <v>25312867.740000002</v>
      </c>
      <c r="G44" s="130">
        <v>25299676.649999999</v>
      </c>
      <c r="H44" s="130">
        <v>33383441</v>
      </c>
      <c r="I44" s="130">
        <v>32225902</v>
      </c>
      <c r="J44" s="130">
        <v>32673683</v>
      </c>
      <c r="K44" s="130">
        <v>32673683</v>
      </c>
      <c r="L44" s="415">
        <f t="shared" si="0"/>
        <v>96.532595306757017</v>
      </c>
      <c r="M44" s="130">
        <f t="shared" si="1"/>
        <v>-1157539</v>
      </c>
      <c r="N44" s="130">
        <f t="shared" si="2"/>
        <v>6926225.3500000015</v>
      </c>
      <c r="O44" s="130">
        <f t="shared" si="3"/>
        <v>447781</v>
      </c>
      <c r="P44" s="423">
        <f t="shared" si="4"/>
        <v>0</v>
      </c>
    </row>
    <row r="45" spans="2:16" x14ac:dyDescent="0.2">
      <c r="B45" s="445">
        <v>372</v>
      </c>
      <c r="C45" s="435" t="s">
        <v>42</v>
      </c>
      <c r="D45" s="130">
        <v>63894839.829999998</v>
      </c>
      <c r="E45" s="130">
        <v>67713206.209999993</v>
      </c>
      <c r="F45" s="130">
        <v>108304232.95</v>
      </c>
      <c r="G45" s="130">
        <v>67743983.620000005</v>
      </c>
      <c r="H45" s="130">
        <v>74917734</v>
      </c>
      <c r="I45" s="130">
        <v>70651733</v>
      </c>
      <c r="J45" s="130">
        <v>72044125</v>
      </c>
      <c r="K45" s="130">
        <v>72044125</v>
      </c>
      <c r="L45" s="415">
        <f t="shared" si="0"/>
        <v>94.305752760754885</v>
      </c>
      <c r="M45" s="130">
        <f t="shared" si="1"/>
        <v>-4266001</v>
      </c>
      <c r="N45" s="130">
        <f t="shared" si="2"/>
        <v>2907749.3799999952</v>
      </c>
      <c r="O45" s="130">
        <f t="shared" si="3"/>
        <v>1392392</v>
      </c>
      <c r="P45" s="423">
        <f t="shared" si="4"/>
        <v>0</v>
      </c>
    </row>
    <row r="46" spans="2:16" x14ac:dyDescent="0.2">
      <c r="B46" s="445">
        <v>373</v>
      </c>
      <c r="C46" s="435" t="s">
        <v>43</v>
      </c>
      <c r="D46" s="130">
        <v>22849747.399999999</v>
      </c>
      <c r="E46" s="130">
        <v>21688206.550000001</v>
      </c>
      <c r="F46" s="130">
        <v>21886892.91</v>
      </c>
      <c r="G46" s="130">
        <v>23452590.84</v>
      </c>
      <c r="H46" s="130">
        <v>23319886</v>
      </c>
      <c r="I46" s="130">
        <v>21537518</v>
      </c>
      <c r="J46" s="130">
        <v>22354064</v>
      </c>
      <c r="K46" s="130">
        <v>22354064</v>
      </c>
      <c r="L46" s="415">
        <f t="shared" si="0"/>
        <v>92.35687515796603</v>
      </c>
      <c r="M46" s="130">
        <f t="shared" si="1"/>
        <v>-1782368</v>
      </c>
      <c r="N46" s="130">
        <f t="shared" si="2"/>
        <v>-1915072.8399999999</v>
      </c>
      <c r="O46" s="130">
        <f t="shared" si="3"/>
        <v>816546</v>
      </c>
      <c r="P46" s="423">
        <f t="shared" si="4"/>
        <v>0</v>
      </c>
    </row>
    <row r="47" spans="2:16" x14ac:dyDescent="0.2">
      <c r="B47" s="445">
        <v>374</v>
      </c>
      <c r="C47" s="435" t="s">
        <v>44</v>
      </c>
      <c r="D47" s="130">
        <v>2630476559.4499998</v>
      </c>
      <c r="E47" s="130">
        <v>3727451658.4499998</v>
      </c>
      <c r="F47" s="130">
        <v>3230884102.4000015</v>
      </c>
      <c r="G47" s="130">
        <v>9672487627.6899986</v>
      </c>
      <c r="H47" s="130">
        <v>3778578416</v>
      </c>
      <c r="I47" s="130">
        <v>3377333235</v>
      </c>
      <c r="J47" s="130">
        <v>3381420287</v>
      </c>
      <c r="K47" s="130">
        <v>3380418754</v>
      </c>
      <c r="L47" s="415">
        <f t="shared" si="0"/>
        <v>89.381054544191301</v>
      </c>
      <c r="M47" s="130">
        <f t="shared" si="1"/>
        <v>-401245181</v>
      </c>
      <c r="N47" s="130">
        <f t="shared" si="2"/>
        <v>-6295154392.6899986</v>
      </c>
      <c r="O47" s="130">
        <f t="shared" si="3"/>
        <v>4087052</v>
      </c>
      <c r="P47" s="423">
        <f t="shared" si="4"/>
        <v>-1001533</v>
      </c>
    </row>
    <row r="48" spans="2:16" x14ac:dyDescent="0.2">
      <c r="B48" s="445">
        <v>375</v>
      </c>
      <c r="C48" s="435" t="s">
        <v>45</v>
      </c>
      <c r="D48" s="130">
        <v>422401123.64999998</v>
      </c>
      <c r="E48" s="130">
        <v>432373045.83999997</v>
      </c>
      <c r="F48" s="130">
        <v>431833138.18999994</v>
      </c>
      <c r="G48" s="130">
        <v>475847041.07999998</v>
      </c>
      <c r="H48" s="130">
        <v>472955196</v>
      </c>
      <c r="I48" s="130">
        <v>476896550</v>
      </c>
      <c r="J48" s="130">
        <v>495641381</v>
      </c>
      <c r="K48" s="130">
        <v>495641381</v>
      </c>
      <c r="L48" s="415">
        <f t="shared" si="0"/>
        <v>100.83334616753</v>
      </c>
      <c r="M48" s="130">
        <f t="shared" si="1"/>
        <v>3941354</v>
      </c>
      <c r="N48" s="130">
        <f t="shared" si="2"/>
        <v>1049508.9200000167</v>
      </c>
      <c r="O48" s="130">
        <f t="shared" si="3"/>
        <v>18744831</v>
      </c>
      <c r="P48" s="423">
        <f t="shared" si="4"/>
        <v>0</v>
      </c>
    </row>
    <row r="49" spans="2:16" x14ac:dyDescent="0.2">
      <c r="B49" s="445">
        <v>376</v>
      </c>
      <c r="C49" s="435" t="s">
        <v>46</v>
      </c>
      <c r="D49" s="130">
        <v>426578528.52999997</v>
      </c>
      <c r="E49" s="130">
        <v>447988422.81999999</v>
      </c>
      <c r="F49" s="130">
        <v>447841269.41999996</v>
      </c>
      <c r="G49" s="130">
        <v>469394805.81</v>
      </c>
      <c r="H49" s="130">
        <v>519503730</v>
      </c>
      <c r="I49" s="130">
        <v>502763895</v>
      </c>
      <c r="J49" s="130">
        <v>528761692</v>
      </c>
      <c r="K49" s="130">
        <v>540051531</v>
      </c>
      <c r="L49" s="415">
        <f t="shared" si="0"/>
        <v>96.777725734519748</v>
      </c>
      <c r="M49" s="130">
        <f t="shared" si="1"/>
        <v>-16739835</v>
      </c>
      <c r="N49" s="130">
        <f t="shared" si="2"/>
        <v>33369089.189999998</v>
      </c>
      <c r="O49" s="130">
        <f t="shared" si="3"/>
        <v>25997797</v>
      </c>
      <c r="P49" s="423">
        <f t="shared" si="4"/>
        <v>11289839</v>
      </c>
    </row>
    <row r="50" spans="2:16" x14ac:dyDescent="0.2">
      <c r="B50" s="445">
        <v>377</v>
      </c>
      <c r="C50" s="435" t="s">
        <v>47</v>
      </c>
      <c r="D50" s="130">
        <v>4315737934.5500002</v>
      </c>
      <c r="E50" s="130">
        <v>5050391619.5699997</v>
      </c>
      <c r="F50" s="130">
        <v>5445200575.0700026</v>
      </c>
      <c r="G50" s="130">
        <v>4979917305.9599981</v>
      </c>
      <c r="H50" s="130">
        <v>5593299030</v>
      </c>
      <c r="I50" s="130">
        <v>4895957258</v>
      </c>
      <c r="J50" s="130">
        <v>5495009359</v>
      </c>
      <c r="K50" s="130">
        <v>5495009359</v>
      </c>
      <c r="L50" s="415">
        <f t="shared" si="0"/>
        <v>87.532549783951026</v>
      </c>
      <c r="M50" s="130">
        <f t="shared" si="1"/>
        <v>-697341772</v>
      </c>
      <c r="N50" s="130">
        <f t="shared" si="2"/>
        <v>-83960047.959998131</v>
      </c>
      <c r="O50" s="130">
        <f t="shared" si="3"/>
        <v>599052101</v>
      </c>
      <c r="P50" s="423">
        <f t="shared" si="4"/>
        <v>0</v>
      </c>
    </row>
    <row r="51" spans="2:16" ht="25.5" x14ac:dyDescent="0.2">
      <c r="B51" s="445">
        <v>378</v>
      </c>
      <c r="C51" s="436" t="s">
        <v>48</v>
      </c>
      <c r="D51" s="130">
        <v>423486278.95999998</v>
      </c>
      <c r="E51" s="130">
        <v>369388000.49000001</v>
      </c>
      <c r="F51" s="130">
        <v>567589374.88000011</v>
      </c>
      <c r="G51" s="130">
        <v>592817895.79999995</v>
      </c>
      <c r="H51" s="130">
        <v>612460203</v>
      </c>
      <c r="I51" s="130">
        <v>852425333</v>
      </c>
      <c r="J51" s="130">
        <v>911622193</v>
      </c>
      <c r="K51" s="130">
        <v>1063022193</v>
      </c>
      <c r="L51" s="415">
        <f t="shared" si="0"/>
        <v>139.18052615085588</v>
      </c>
      <c r="M51" s="130">
        <f t="shared" si="1"/>
        <v>239965130</v>
      </c>
      <c r="N51" s="130">
        <f t="shared" si="2"/>
        <v>259607437.20000005</v>
      </c>
      <c r="O51" s="130">
        <f t="shared" si="3"/>
        <v>59196860</v>
      </c>
      <c r="P51" s="423">
        <f t="shared" si="4"/>
        <v>151400000</v>
      </c>
    </row>
    <row r="52" spans="2:16" x14ac:dyDescent="0.2">
      <c r="B52" s="445">
        <v>381</v>
      </c>
      <c r="C52" s="435" t="s">
        <v>49</v>
      </c>
      <c r="D52" s="130">
        <v>587108469.37</v>
      </c>
      <c r="E52" s="130">
        <v>623587131.48000002</v>
      </c>
      <c r="F52" s="130">
        <v>935360576.44000006</v>
      </c>
      <c r="G52" s="130">
        <v>1034547959.1499999</v>
      </c>
      <c r="H52" s="130">
        <v>630992091</v>
      </c>
      <c r="I52" s="130">
        <v>572003898</v>
      </c>
      <c r="J52" s="130">
        <v>590374454</v>
      </c>
      <c r="K52" s="130">
        <v>590374454</v>
      </c>
      <c r="L52" s="415">
        <f t="shared" si="0"/>
        <v>90.651516264409096</v>
      </c>
      <c r="M52" s="130">
        <f t="shared" si="1"/>
        <v>-58988193</v>
      </c>
      <c r="N52" s="130">
        <f t="shared" si="2"/>
        <v>-462544061.14999986</v>
      </c>
      <c r="O52" s="130">
        <f t="shared" si="3"/>
        <v>18370556</v>
      </c>
      <c r="P52" s="423">
        <f t="shared" si="4"/>
        <v>0</v>
      </c>
    </row>
    <row r="53" spans="2:16" x14ac:dyDescent="0.2">
      <c r="B53" s="445">
        <v>396</v>
      </c>
      <c r="C53" s="435" t="s">
        <v>50</v>
      </c>
      <c r="D53" s="130">
        <v>39551407852.580002</v>
      </c>
      <c r="E53" s="130">
        <v>40145474011.32</v>
      </c>
      <c r="F53" s="130">
        <v>42233847726.200005</v>
      </c>
      <c r="G53" s="130">
        <v>49705483243.529999</v>
      </c>
      <c r="H53" s="130">
        <v>69966880286</v>
      </c>
      <c r="I53" s="130">
        <v>94966880286</v>
      </c>
      <c r="J53" s="130">
        <v>109966880286</v>
      </c>
      <c r="K53" s="130">
        <v>119966880286</v>
      </c>
      <c r="L53" s="415">
        <f t="shared" si="0"/>
        <v>135.73119152634615</v>
      </c>
      <c r="M53" s="130">
        <f t="shared" si="1"/>
        <v>25000000000</v>
      </c>
      <c r="N53" s="130">
        <f t="shared" si="2"/>
        <v>45261397042.470001</v>
      </c>
      <c r="O53" s="130">
        <f t="shared" si="3"/>
        <v>15000000000</v>
      </c>
      <c r="P53" s="423">
        <f t="shared" si="4"/>
        <v>10000000000</v>
      </c>
    </row>
    <row r="54" spans="2:16" x14ac:dyDescent="0.2">
      <c r="B54" s="445">
        <v>397</v>
      </c>
      <c r="C54" s="435" t="s">
        <v>51</v>
      </c>
      <c r="D54" s="130">
        <v>2083791.98</v>
      </c>
      <c r="E54" s="130">
        <v>2267494.41</v>
      </c>
      <c r="F54" s="130">
        <v>5987895.7300000004</v>
      </c>
      <c r="G54" s="130">
        <v>2135360.15</v>
      </c>
      <c r="H54" s="130">
        <v>380000000</v>
      </c>
      <c r="I54" s="130">
        <v>10000000</v>
      </c>
      <c r="J54" s="130">
        <v>10000000</v>
      </c>
      <c r="K54" s="130">
        <v>10000000</v>
      </c>
      <c r="L54" s="415">
        <f t="shared" si="0"/>
        <v>2.6315789473684208</v>
      </c>
      <c r="M54" s="130">
        <f t="shared" si="1"/>
        <v>-370000000</v>
      </c>
      <c r="N54" s="130">
        <f t="shared" si="2"/>
        <v>7864639.8499999996</v>
      </c>
      <c r="O54" s="130">
        <f t="shared" si="3"/>
        <v>0</v>
      </c>
      <c r="P54" s="423">
        <f t="shared" si="4"/>
        <v>0</v>
      </c>
    </row>
    <row r="55" spans="2:16" x14ac:dyDescent="0.2">
      <c r="B55" s="445">
        <v>398</v>
      </c>
      <c r="C55" s="435" t="s">
        <v>52</v>
      </c>
      <c r="D55" s="130">
        <v>163041125846.72</v>
      </c>
      <c r="E55" s="130">
        <v>218131478677.09</v>
      </c>
      <c r="F55" s="130">
        <v>219173465157.64999</v>
      </c>
      <c r="G55" s="130">
        <v>219074402347.61002</v>
      </c>
      <c r="H55" s="130">
        <v>358519256425</v>
      </c>
      <c r="I55" s="422">
        <v>282994331539</v>
      </c>
      <c r="J55" s="130">
        <v>296624014548</v>
      </c>
      <c r="K55" s="422">
        <v>303487901933</v>
      </c>
      <c r="L55" s="415">
        <f t="shared" si="0"/>
        <v>78.934206871033339</v>
      </c>
      <c r="M55" s="130">
        <f t="shared" si="1"/>
        <v>-75524924886</v>
      </c>
      <c r="N55" s="130">
        <f t="shared" si="2"/>
        <v>63919929191.389984</v>
      </c>
      <c r="O55" s="130">
        <f t="shared" si="3"/>
        <v>13629683009</v>
      </c>
      <c r="P55" s="423">
        <f t="shared" si="4"/>
        <v>6863887385</v>
      </c>
    </row>
    <row r="56" spans="2:16" x14ac:dyDescent="0.2">
      <c r="B56" s="446"/>
      <c r="C56" s="437"/>
      <c r="D56" s="130"/>
      <c r="E56" s="130"/>
      <c r="F56" s="130"/>
      <c r="G56" s="130"/>
      <c r="H56" s="130"/>
      <c r="I56" s="130"/>
      <c r="J56" s="130"/>
      <c r="K56" s="130"/>
      <c r="L56" s="415"/>
      <c r="M56" s="130"/>
      <c r="N56" s="130"/>
      <c r="O56" s="130"/>
      <c r="P56" s="423"/>
    </row>
    <row r="57" spans="2:16" ht="13.5" thickBot="1" x14ac:dyDescent="0.25">
      <c r="B57" s="447"/>
      <c r="C57" s="438"/>
      <c r="D57" s="253"/>
      <c r="E57" s="253"/>
      <c r="F57" s="253"/>
      <c r="G57" s="253"/>
      <c r="H57" s="253"/>
      <c r="I57" s="253"/>
      <c r="J57" s="253"/>
      <c r="K57" s="253"/>
      <c r="L57" s="403"/>
      <c r="M57" s="253"/>
      <c r="N57" s="253"/>
      <c r="O57" s="409"/>
      <c r="P57" s="404"/>
    </row>
    <row r="58" spans="2:16" ht="17.25" customHeight="1" thickTop="1" thickBot="1" x14ac:dyDescent="0.25">
      <c r="B58" s="448"/>
      <c r="C58" s="439" t="s">
        <v>309</v>
      </c>
      <c r="D58" s="254">
        <v>1425692825710.4995</v>
      </c>
      <c r="E58" s="254">
        <v>1703198556844.4507</v>
      </c>
      <c r="F58" s="254">
        <v>1769484694902.1694</v>
      </c>
      <c r="G58" s="254">
        <v>1823662259052.28</v>
      </c>
      <c r="H58" s="254">
        <v>2083731641943</v>
      </c>
      <c r="I58" s="254">
        <v>2011702781299</v>
      </c>
      <c r="J58" s="254">
        <v>2090916993952</v>
      </c>
      <c r="K58" s="254">
        <v>2134173583754</v>
      </c>
      <c r="L58" s="412">
        <f t="shared" si="0"/>
        <v>96.5432755737761</v>
      </c>
      <c r="M58" s="254">
        <f t="shared" si="1"/>
        <v>-72028860644</v>
      </c>
      <c r="N58" s="413">
        <f>+I58-G58</f>
        <v>188040522246.71997</v>
      </c>
      <c r="O58" s="256">
        <f t="shared" si="3"/>
        <v>79214212653</v>
      </c>
      <c r="P58" s="424">
        <f t="shared" si="4"/>
        <v>43256589802</v>
      </c>
    </row>
    <row r="59" spans="2:16" ht="13.5" thickBot="1" x14ac:dyDescent="0.25">
      <c r="L59" s="235"/>
    </row>
    <row r="60" spans="2:16" s="227" customFormat="1" ht="26.25" thickBot="1" x14ac:dyDescent="0.25">
      <c r="C60" s="440" t="s">
        <v>59</v>
      </c>
      <c r="D60" s="441">
        <v>-29287660890.339844</v>
      </c>
      <c r="E60" s="441">
        <v>-365706887901.38086</v>
      </c>
      <c r="F60" s="441">
        <v>-409006420279.47949</v>
      </c>
      <c r="G60" s="441">
        <f>+'T2 příjmy bez EUaFM'!G58-'T5 výdaje bez EUaFM'!G58</f>
        <v>-316788676363.1604</v>
      </c>
      <c r="H60" s="441">
        <f>+'T2 příjmy bez EUaFM'!H58-'T5 výdaje bez EUaFM'!H58</f>
        <v>-295000000000</v>
      </c>
      <c r="I60" s="441">
        <v>-235000000000</v>
      </c>
      <c r="J60" s="441">
        <v>-200000000000</v>
      </c>
      <c r="K60" s="442">
        <v>-175000000000</v>
      </c>
      <c r="L60" s="236"/>
    </row>
    <row r="62" spans="2:16" x14ac:dyDescent="0.2">
      <c r="G62" s="228"/>
    </row>
  </sheetData>
  <mergeCells count="1">
    <mergeCell ref="C5:F5"/>
  </mergeCells>
  <printOptions horizontalCentered="1" verticalCentered="1"/>
  <pageMargins left="0.19685039370078741" right="0.19685039370078741" top="0.15748031496062992" bottom="0.15748031496062992" header="0.31496062992125984" footer="0.31496062992125984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zoomScale="85" zoomScaleNormal="85" workbookViewId="0"/>
  </sheetViews>
  <sheetFormatPr defaultColWidth="9.33203125" defaultRowHeight="12.75" x14ac:dyDescent="0.2"/>
  <cols>
    <col min="1" max="1" width="3.33203125" style="66" customWidth="1"/>
    <col min="2" max="2" width="11" style="201" customWidth="1"/>
    <col min="3" max="3" width="52" style="201" customWidth="1"/>
    <col min="4" max="6" width="17" style="201" customWidth="1"/>
    <col min="7" max="11" width="17" style="199" customWidth="1"/>
    <col min="12" max="14" width="11.83203125" style="199" customWidth="1"/>
    <col min="15" max="16384" width="9.33203125" style="201"/>
  </cols>
  <sheetData>
    <row r="1" spans="2:14" x14ac:dyDescent="0.2">
      <c r="B1" s="199"/>
      <c r="C1" s="199"/>
      <c r="D1" s="199"/>
      <c r="E1" s="199"/>
      <c r="F1" s="199"/>
      <c r="H1" s="200"/>
      <c r="I1" s="200"/>
      <c r="J1" s="200"/>
      <c r="K1" s="200" t="s">
        <v>111</v>
      </c>
    </row>
    <row r="2" spans="2:14" x14ac:dyDescent="0.2">
      <c r="B2" s="199"/>
      <c r="C2" s="199"/>
      <c r="D2" s="199"/>
      <c r="E2" s="199"/>
      <c r="F2" s="199"/>
      <c r="H2" s="200" t="s">
        <v>112</v>
      </c>
    </row>
    <row r="3" spans="2:14" ht="38.25" customHeight="1" x14ac:dyDescent="0.2">
      <c r="B3" s="457" t="s">
        <v>343</v>
      </c>
      <c r="C3" s="457"/>
      <c r="D3" s="457"/>
      <c r="E3" s="457"/>
      <c r="F3" s="457"/>
      <c r="G3" s="457"/>
      <c r="H3" s="457"/>
      <c r="I3" s="457"/>
      <c r="J3" s="457"/>
      <c r="K3" s="457"/>
    </row>
    <row r="4" spans="2:14" x14ac:dyDescent="0.2">
      <c r="C4" s="199"/>
      <c r="D4" s="199"/>
      <c r="E4" s="199"/>
      <c r="F4" s="199"/>
    </row>
    <row r="5" spans="2:14" ht="15" customHeight="1" thickBot="1" x14ac:dyDescent="0.25">
      <c r="C5" s="199"/>
      <c r="D5" s="199"/>
      <c r="E5" s="199"/>
      <c r="F5" s="199"/>
      <c r="J5" s="200"/>
      <c r="K5" s="200" t="s">
        <v>2</v>
      </c>
    </row>
    <row r="6" spans="2:14" ht="25.5" customHeight="1" thickBot="1" x14ac:dyDescent="0.25">
      <c r="B6" s="203" t="s">
        <v>113</v>
      </c>
      <c r="C6" s="204" t="s">
        <v>4</v>
      </c>
      <c r="D6" s="205" t="s">
        <v>5</v>
      </c>
      <c r="E6" s="123" t="s">
        <v>259</v>
      </c>
      <c r="F6" s="123" t="s">
        <v>260</v>
      </c>
      <c r="G6" s="206" t="s">
        <v>330</v>
      </c>
      <c r="H6" s="257">
        <v>2023</v>
      </c>
      <c r="I6" s="257">
        <v>2024</v>
      </c>
      <c r="J6" s="257">
        <v>2025</v>
      </c>
      <c r="K6" s="257">
        <v>2026</v>
      </c>
      <c r="L6" s="206" t="s">
        <v>114</v>
      </c>
      <c r="M6" s="260" t="s">
        <v>265</v>
      </c>
      <c r="N6" s="261" t="s">
        <v>336</v>
      </c>
    </row>
    <row r="7" spans="2:14" ht="15" customHeight="1" x14ac:dyDescent="0.2">
      <c r="B7" s="207">
        <v>306</v>
      </c>
      <c r="C7" s="208" t="s">
        <v>11</v>
      </c>
      <c r="D7" s="209">
        <f t="shared" ref="D7:K7" si="0">SUM(D9:D12)</f>
        <v>928633943.66999996</v>
      </c>
      <c r="E7" s="209">
        <f t="shared" si="0"/>
        <v>973688734</v>
      </c>
      <c r="F7" s="209">
        <f t="shared" si="0"/>
        <v>880197787.36000001</v>
      </c>
      <c r="G7" s="209">
        <f t="shared" si="0"/>
        <v>818854812.82999992</v>
      </c>
      <c r="H7" s="209">
        <f t="shared" si="0"/>
        <v>827320400</v>
      </c>
      <c r="I7" s="209">
        <f t="shared" si="0"/>
        <v>827320400</v>
      </c>
      <c r="J7" s="209">
        <f t="shared" si="0"/>
        <v>827320400</v>
      </c>
      <c r="K7" s="209">
        <f t="shared" si="0"/>
        <v>827320400</v>
      </c>
      <c r="L7" s="262">
        <f>+I7/H7*100</f>
        <v>100</v>
      </c>
      <c r="M7" s="262">
        <f>+J7/I7*100</f>
        <v>100</v>
      </c>
      <c r="N7" s="263">
        <f>+K7/J7*100</f>
        <v>100</v>
      </c>
    </row>
    <row r="8" spans="2:14" ht="15" customHeight="1" x14ac:dyDescent="0.2">
      <c r="B8" s="210"/>
      <c r="C8" s="211" t="s">
        <v>115</v>
      </c>
      <c r="D8" s="211"/>
      <c r="E8" s="211"/>
      <c r="F8" s="211"/>
      <c r="G8" s="211"/>
      <c r="H8" s="212"/>
      <c r="I8" s="212"/>
      <c r="J8" s="212"/>
      <c r="K8" s="212"/>
      <c r="L8" s="264"/>
      <c r="M8" s="264"/>
      <c r="N8" s="265"/>
    </row>
    <row r="9" spans="2:14" ht="15" customHeight="1" x14ac:dyDescent="0.2">
      <c r="B9" s="210"/>
      <c r="C9" s="213" t="s">
        <v>116</v>
      </c>
      <c r="D9" s="212">
        <v>634967821</v>
      </c>
      <c r="E9" s="212">
        <v>675177304</v>
      </c>
      <c r="F9" s="212">
        <v>661611757</v>
      </c>
      <c r="G9" s="212">
        <v>434422226.38999999</v>
      </c>
      <c r="H9" s="212">
        <v>582320400</v>
      </c>
      <c r="I9" s="212">
        <v>572320400</v>
      </c>
      <c r="J9" s="212">
        <v>562320400</v>
      </c>
      <c r="K9" s="212">
        <v>562320400</v>
      </c>
      <c r="L9" s="266">
        <f t="shared" ref="L9:L23" si="1">+I9/H9*100</f>
        <v>98.282732323992079</v>
      </c>
      <c r="M9" s="266">
        <f t="shared" ref="M9:M23" si="2">+J9/I9*100</f>
        <v>98.252726969019449</v>
      </c>
      <c r="N9" s="267">
        <f t="shared" ref="N9:N23" si="3">+K9/J9*100</f>
        <v>100</v>
      </c>
    </row>
    <row r="10" spans="2:14" ht="15" customHeight="1" x14ac:dyDescent="0.2">
      <c r="B10" s="210"/>
      <c r="C10" s="213" t="s">
        <v>117</v>
      </c>
      <c r="D10" s="212">
        <v>78023920.629999995</v>
      </c>
      <c r="E10" s="212">
        <v>86664968</v>
      </c>
      <c r="F10" s="212">
        <v>74359327.709999993</v>
      </c>
      <c r="G10" s="212">
        <v>63303536.459999993</v>
      </c>
      <c r="H10" s="212">
        <v>80000000</v>
      </c>
      <c r="I10" s="212">
        <v>90000000</v>
      </c>
      <c r="J10" s="212">
        <v>100000000</v>
      </c>
      <c r="K10" s="212">
        <v>100000000</v>
      </c>
      <c r="L10" s="266">
        <f t="shared" si="1"/>
        <v>112.5</v>
      </c>
      <c r="M10" s="266">
        <f t="shared" si="2"/>
        <v>111.11111111111111</v>
      </c>
      <c r="N10" s="267">
        <f t="shared" si="3"/>
        <v>100</v>
      </c>
    </row>
    <row r="11" spans="2:14" ht="15" customHeight="1" x14ac:dyDescent="0.2">
      <c r="B11" s="210"/>
      <c r="C11" s="213" t="s">
        <v>118</v>
      </c>
      <c r="D11" s="212">
        <v>215642202.03999999</v>
      </c>
      <c r="E11" s="212">
        <v>211846462</v>
      </c>
      <c r="F11" s="212">
        <v>144226702.65000001</v>
      </c>
      <c r="G11" s="212">
        <v>321129049.98000002</v>
      </c>
      <c r="H11" s="212">
        <v>165000000</v>
      </c>
      <c r="I11" s="212">
        <v>165000000</v>
      </c>
      <c r="J11" s="212">
        <v>165000000</v>
      </c>
      <c r="K11" s="212">
        <v>165000000</v>
      </c>
      <c r="L11" s="266">
        <f t="shared" si="1"/>
        <v>100</v>
      </c>
      <c r="M11" s="266">
        <f t="shared" si="2"/>
        <v>100</v>
      </c>
      <c r="N11" s="267">
        <f t="shared" si="3"/>
        <v>100</v>
      </c>
    </row>
    <row r="12" spans="2:14" ht="15" customHeight="1" x14ac:dyDescent="0.2">
      <c r="B12" s="210"/>
      <c r="C12" s="213"/>
      <c r="D12" s="211"/>
      <c r="E12" s="211"/>
      <c r="F12" s="211"/>
      <c r="G12" s="211"/>
      <c r="H12" s="212"/>
      <c r="I12" s="212"/>
      <c r="J12" s="214"/>
      <c r="K12" s="214"/>
      <c r="L12" s="266"/>
      <c r="M12" s="266"/>
      <c r="N12" s="267"/>
    </row>
    <row r="13" spans="2:14" ht="15" customHeight="1" x14ac:dyDescent="0.2">
      <c r="B13" s="207">
        <v>312</v>
      </c>
      <c r="C13" s="215" t="s">
        <v>15</v>
      </c>
      <c r="D13" s="214">
        <v>3638844</v>
      </c>
      <c r="E13" s="214">
        <v>0</v>
      </c>
      <c r="F13" s="214">
        <v>133910</v>
      </c>
      <c r="G13" s="214">
        <v>960309.59000000008</v>
      </c>
      <c r="H13" s="214">
        <v>0</v>
      </c>
      <c r="I13" s="214">
        <v>0</v>
      </c>
      <c r="J13" s="268">
        <v>0</v>
      </c>
      <c r="K13" s="268">
        <v>0</v>
      </c>
      <c r="L13" s="266"/>
      <c r="M13" s="266"/>
      <c r="N13" s="267"/>
    </row>
    <row r="14" spans="2:14" ht="15" customHeight="1" x14ac:dyDescent="0.2">
      <c r="B14" s="207">
        <v>313</v>
      </c>
      <c r="C14" s="215" t="s">
        <v>16</v>
      </c>
      <c r="D14" s="214">
        <v>24976</v>
      </c>
      <c r="E14" s="214">
        <v>0</v>
      </c>
      <c r="F14" s="214">
        <v>174738</v>
      </c>
      <c r="G14" s="214">
        <v>812734.15999999992</v>
      </c>
      <c r="H14" s="214">
        <v>0</v>
      </c>
      <c r="I14" s="214">
        <v>0</v>
      </c>
      <c r="J14" s="214">
        <v>0</v>
      </c>
      <c r="K14" s="214">
        <v>0</v>
      </c>
      <c r="L14" s="266"/>
      <c r="M14" s="266"/>
      <c r="N14" s="267"/>
    </row>
    <row r="15" spans="2:14" ht="15" customHeight="1" x14ac:dyDescent="0.2">
      <c r="B15" s="207">
        <v>314</v>
      </c>
      <c r="C15" s="215" t="s">
        <v>17</v>
      </c>
      <c r="D15" s="214">
        <v>6848340</v>
      </c>
      <c r="E15" s="214">
        <v>4446443</v>
      </c>
      <c r="F15" s="214">
        <v>14503225</v>
      </c>
      <c r="G15" s="214">
        <v>10940552.899999997</v>
      </c>
      <c r="H15" s="214">
        <v>0</v>
      </c>
      <c r="I15" s="214">
        <v>0</v>
      </c>
      <c r="J15" s="268">
        <v>0</v>
      </c>
      <c r="K15" s="268">
        <v>0</v>
      </c>
      <c r="L15" s="266"/>
      <c r="M15" s="266"/>
      <c r="N15" s="267"/>
    </row>
    <row r="16" spans="2:14" ht="15" customHeight="1" x14ac:dyDescent="0.2">
      <c r="B16" s="207">
        <v>315</v>
      </c>
      <c r="C16" s="215" t="s">
        <v>18</v>
      </c>
      <c r="D16" s="214">
        <v>4641122</v>
      </c>
      <c r="E16" s="214">
        <v>8780546</v>
      </c>
      <c r="F16" s="214">
        <v>11628783</v>
      </c>
      <c r="G16" s="214">
        <v>11118158.800000001</v>
      </c>
      <c r="H16" s="214">
        <v>0</v>
      </c>
      <c r="I16" s="214">
        <v>0</v>
      </c>
      <c r="J16" s="268">
        <v>0</v>
      </c>
      <c r="K16" s="268">
        <v>0</v>
      </c>
      <c r="L16" s="266"/>
      <c r="M16" s="266"/>
      <c r="N16" s="267"/>
    </row>
    <row r="17" spans="1:14" ht="15" customHeight="1" x14ac:dyDescent="0.2">
      <c r="B17" s="207">
        <v>322</v>
      </c>
      <c r="C17" s="215" t="s">
        <v>21</v>
      </c>
      <c r="D17" s="214">
        <v>20311212</v>
      </c>
      <c r="E17" s="214">
        <v>5631013</v>
      </c>
      <c r="F17" s="214">
        <v>10565894</v>
      </c>
      <c r="G17" s="214">
        <v>10617294.760000002</v>
      </c>
      <c r="H17" s="214">
        <v>0</v>
      </c>
      <c r="I17" s="214">
        <v>0</v>
      </c>
      <c r="J17" s="268">
        <v>0</v>
      </c>
      <c r="K17" s="268">
        <v>0</v>
      </c>
      <c r="L17" s="266"/>
      <c r="M17" s="266"/>
      <c r="N17" s="267"/>
    </row>
    <row r="18" spans="1:14" ht="15" customHeight="1" x14ac:dyDescent="0.2">
      <c r="B18" s="207">
        <v>329</v>
      </c>
      <c r="C18" s="215" t="s">
        <v>24</v>
      </c>
      <c r="D18" s="214">
        <v>16588199</v>
      </c>
      <c r="E18" s="214">
        <v>4634104</v>
      </c>
      <c r="F18" s="214">
        <v>10356336</v>
      </c>
      <c r="G18" s="214">
        <v>12817415.439999999</v>
      </c>
      <c r="H18" s="214">
        <v>0</v>
      </c>
      <c r="I18" s="214">
        <v>0</v>
      </c>
      <c r="J18" s="268">
        <v>0</v>
      </c>
      <c r="K18" s="268">
        <v>0</v>
      </c>
      <c r="L18" s="266"/>
      <c r="M18" s="266"/>
      <c r="N18" s="267"/>
    </row>
    <row r="19" spans="1:14" ht="15" customHeight="1" x14ac:dyDescent="0.2">
      <c r="B19" s="210">
        <v>333</v>
      </c>
      <c r="C19" s="216" t="s">
        <v>25</v>
      </c>
      <c r="D19" s="214">
        <v>122051561</v>
      </c>
      <c r="E19" s="214">
        <v>103637934</v>
      </c>
      <c r="F19" s="214">
        <v>83447989</v>
      </c>
      <c r="G19" s="214">
        <v>71760396</v>
      </c>
      <c r="H19" s="214">
        <v>112000000</v>
      </c>
      <c r="I19" s="214">
        <v>112000000</v>
      </c>
      <c r="J19" s="268">
        <v>112000000</v>
      </c>
      <c r="K19" s="268">
        <v>112000000</v>
      </c>
      <c r="L19" s="266">
        <f t="shared" si="1"/>
        <v>100</v>
      </c>
      <c r="M19" s="266">
        <f t="shared" si="2"/>
        <v>100</v>
      </c>
      <c r="N19" s="267">
        <f t="shared" si="3"/>
        <v>100</v>
      </c>
    </row>
    <row r="20" spans="1:14" ht="15" customHeight="1" x14ac:dyDescent="0.2">
      <c r="B20" s="217">
        <v>335</v>
      </c>
      <c r="C20" s="218" t="s">
        <v>27</v>
      </c>
      <c r="D20" s="214">
        <v>3378773</v>
      </c>
      <c r="E20" s="214">
        <v>1453534</v>
      </c>
      <c r="F20" s="214">
        <v>1333898</v>
      </c>
      <c r="G20" s="214">
        <v>932648.04</v>
      </c>
      <c r="H20" s="214">
        <v>3000000</v>
      </c>
      <c r="I20" s="214">
        <v>3000000</v>
      </c>
      <c r="J20" s="268">
        <v>3000000</v>
      </c>
      <c r="K20" s="268">
        <v>3000000</v>
      </c>
      <c r="L20" s="266">
        <f t="shared" si="1"/>
        <v>100</v>
      </c>
      <c r="M20" s="266">
        <f t="shared" si="2"/>
        <v>100</v>
      </c>
      <c r="N20" s="267">
        <f t="shared" si="3"/>
        <v>100</v>
      </c>
    </row>
    <row r="21" spans="1:14" ht="15" customHeight="1" x14ac:dyDescent="0.2">
      <c r="B21" s="451">
        <v>336</v>
      </c>
      <c r="C21" s="218" t="s">
        <v>28</v>
      </c>
      <c r="D21" s="214">
        <v>0</v>
      </c>
      <c r="E21" s="214">
        <v>0</v>
      </c>
      <c r="F21" s="214">
        <v>0</v>
      </c>
      <c r="G21" s="214">
        <v>363544.62</v>
      </c>
      <c r="H21" s="214">
        <v>0</v>
      </c>
      <c r="I21" s="214">
        <v>0</v>
      </c>
      <c r="J21" s="214">
        <v>0</v>
      </c>
      <c r="K21" s="214">
        <v>0</v>
      </c>
      <c r="L21" s="266"/>
      <c r="M21" s="266"/>
      <c r="N21" s="267"/>
    </row>
    <row r="22" spans="1:14" ht="15" customHeight="1" thickBot="1" x14ac:dyDescent="0.25">
      <c r="B22" s="219">
        <v>376</v>
      </c>
      <c r="C22" s="220" t="s">
        <v>46</v>
      </c>
      <c r="D22" s="221">
        <v>159844</v>
      </c>
      <c r="E22" s="221">
        <v>0</v>
      </c>
      <c r="F22" s="221">
        <v>268673</v>
      </c>
      <c r="G22" s="221">
        <v>327329.75</v>
      </c>
      <c r="H22" s="221">
        <v>0</v>
      </c>
      <c r="I22" s="221">
        <v>0</v>
      </c>
      <c r="J22" s="221">
        <v>0</v>
      </c>
      <c r="K22" s="221">
        <v>0</v>
      </c>
      <c r="L22" s="269"/>
      <c r="M22" s="269"/>
      <c r="N22" s="270"/>
    </row>
    <row r="23" spans="1:14" ht="19.5" customHeight="1" thickTop="1" thickBot="1" x14ac:dyDescent="0.25">
      <c r="B23" s="222"/>
      <c r="C23" s="223" t="s">
        <v>119</v>
      </c>
      <c r="D23" s="224">
        <f t="shared" ref="D23:K23" si="4">SUM(D7:D22)-D7</f>
        <v>1106276814.6700001</v>
      </c>
      <c r="E23" s="224">
        <f t="shared" si="4"/>
        <v>1102272308</v>
      </c>
      <c r="F23" s="224">
        <f t="shared" si="4"/>
        <v>1012611233.3600003</v>
      </c>
      <c r="G23" s="224">
        <f t="shared" si="4"/>
        <v>939505196.88999987</v>
      </c>
      <c r="H23" s="224">
        <f t="shared" si="4"/>
        <v>942320400</v>
      </c>
      <c r="I23" s="224">
        <f t="shared" si="4"/>
        <v>942320400</v>
      </c>
      <c r="J23" s="224">
        <f t="shared" si="4"/>
        <v>942320400</v>
      </c>
      <c r="K23" s="224">
        <f t="shared" si="4"/>
        <v>942320400</v>
      </c>
      <c r="L23" s="271">
        <f t="shared" si="1"/>
        <v>100</v>
      </c>
      <c r="M23" s="271">
        <f t="shared" si="2"/>
        <v>100</v>
      </c>
      <c r="N23" s="272">
        <f t="shared" si="3"/>
        <v>100</v>
      </c>
    </row>
    <row r="24" spans="1:14" x14ac:dyDescent="0.2">
      <c r="C24" s="225"/>
      <c r="D24" s="225"/>
      <c r="E24" s="225"/>
      <c r="F24" s="225"/>
      <c r="G24" s="225"/>
      <c r="H24" s="226"/>
      <c r="I24" s="202"/>
      <c r="J24" s="202"/>
      <c r="K24" s="202"/>
      <c r="N24" s="202"/>
    </row>
    <row r="25" spans="1:14" s="199" customFormat="1" ht="19.5" customHeight="1" x14ac:dyDescent="0.2">
      <c r="A25" s="66"/>
      <c r="B25" s="455" t="s">
        <v>120</v>
      </c>
      <c r="C25" s="456"/>
      <c r="D25" s="456"/>
      <c r="E25" s="456"/>
      <c r="F25" s="456"/>
      <c r="G25" s="456"/>
      <c r="H25" s="456"/>
      <c r="I25" s="456"/>
      <c r="J25" s="251"/>
      <c r="K25" s="251"/>
      <c r="N25" s="202"/>
    </row>
  </sheetData>
  <mergeCells count="2">
    <mergeCell ref="B25:I25"/>
    <mergeCell ref="B3:K3"/>
  </mergeCells>
  <printOptions horizontalCentered="1"/>
  <pageMargins left="0.66" right="0.78740157480314965" top="0.78" bottom="0.98425196850393704" header="0.51181102362204722" footer="0.51181102362204722"/>
  <pageSetup paperSize="9" scale="6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9"/>
  <sheetViews>
    <sheetView zoomScale="85" zoomScaleNormal="85" zoomScaleSheetLayoutView="70" workbookViewId="0">
      <pane xSplit="2" ySplit="12" topLeftCell="C28" activePane="bottomRight" state="frozen"/>
      <selection activeCell="A37" sqref="A37:XFD42"/>
      <selection pane="topRight" activeCell="A37" sqref="A37:XFD42"/>
      <selection pane="bottomLeft" activeCell="A37" sqref="A37:XFD42"/>
      <selection pane="bottomRight"/>
    </sheetView>
  </sheetViews>
  <sheetFormatPr defaultColWidth="8" defaultRowHeight="12.75" x14ac:dyDescent="0.2"/>
  <cols>
    <col min="1" max="1" width="3.33203125" style="66" customWidth="1"/>
    <col min="2" max="2" width="14.83203125" style="198" customWidth="1"/>
    <col min="3" max="5" width="18.6640625" style="144" customWidth="1"/>
    <col min="6" max="6" width="14.1640625" style="144" customWidth="1"/>
    <col min="7" max="9" width="18.6640625" style="144" customWidth="1"/>
    <col min="10" max="10" width="14.1640625" style="144" customWidth="1"/>
    <col min="11" max="13" width="18.6640625" style="144" customWidth="1"/>
    <col min="14" max="14" width="14.1640625" style="144" customWidth="1"/>
    <col min="15" max="15" width="19.6640625" style="10" customWidth="1"/>
    <col min="16" max="16" width="22.6640625" style="10" customWidth="1"/>
    <col min="17" max="17" width="8" style="10"/>
    <col min="18" max="18" width="24.83203125" style="10" customWidth="1"/>
    <col min="19" max="19" width="19.6640625" style="10" customWidth="1"/>
    <col min="20" max="20" width="22.6640625" style="10" customWidth="1"/>
    <col min="21" max="16384" width="8" style="144"/>
  </cols>
  <sheetData>
    <row r="1" spans="1:22" ht="15.75" x14ac:dyDescent="0.25">
      <c r="B1" s="143"/>
      <c r="N1" s="145" t="s">
        <v>258</v>
      </c>
    </row>
    <row r="2" spans="1:22" ht="13.5" customHeight="1" x14ac:dyDescent="0.35">
      <c r="B2" s="143"/>
      <c r="N2" s="146"/>
    </row>
    <row r="3" spans="1:22" ht="15.75" x14ac:dyDescent="0.25">
      <c r="B3" s="467" t="s">
        <v>344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</row>
    <row r="4" spans="1:22" ht="16.5" customHeight="1" thickBot="1" x14ac:dyDescent="0.4">
      <c r="B4" s="147"/>
      <c r="C4" s="148"/>
      <c r="D4" s="148"/>
      <c r="E4" s="148"/>
      <c r="F4" s="148"/>
    </row>
    <row r="5" spans="1:22" s="150" customFormat="1" ht="14.25" customHeight="1" x14ac:dyDescent="0.3">
      <c r="A5" s="66"/>
      <c r="B5" s="149"/>
      <c r="C5" s="458" t="s">
        <v>126</v>
      </c>
      <c r="D5" s="459"/>
      <c r="E5" s="459"/>
      <c r="F5" s="459"/>
      <c r="G5" s="458" t="s">
        <v>266</v>
      </c>
      <c r="H5" s="459"/>
      <c r="I5" s="459"/>
      <c r="J5" s="459"/>
      <c r="K5" s="458" t="s">
        <v>388</v>
      </c>
      <c r="L5" s="459"/>
      <c r="M5" s="459"/>
      <c r="N5" s="464"/>
      <c r="O5" s="10"/>
      <c r="P5" s="10"/>
      <c r="Q5" s="10"/>
      <c r="R5" s="10"/>
      <c r="S5" s="10"/>
      <c r="T5" s="10"/>
    </row>
    <row r="6" spans="1:22" s="150" customFormat="1" ht="13.5" customHeight="1" x14ac:dyDescent="0.3">
      <c r="A6" s="66"/>
      <c r="B6" s="151" t="s">
        <v>127</v>
      </c>
      <c r="C6" s="460"/>
      <c r="D6" s="461"/>
      <c r="E6" s="461"/>
      <c r="F6" s="461"/>
      <c r="G6" s="460"/>
      <c r="H6" s="461"/>
      <c r="I6" s="461"/>
      <c r="J6" s="461"/>
      <c r="K6" s="460"/>
      <c r="L6" s="461"/>
      <c r="M6" s="461"/>
      <c r="N6" s="465"/>
      <c r="O6" s="10"/>
      <c r="P6" s="10"/>
      <c r="Q6" s="10"/>
      <c r="R6" s="10"/>
      <c r="S6" s="10"/>
      <c r="T6" s="10"/>
    </row>
    <row r="7" spans="1:22" s="150" customFormat="1" ht="13.5" customHeight="1" thickBot="1" x14ac:dyDescent="0.35">
      <c r="A7" s="66"/>
      <c r="B7" s="449" t="s">
        <v>128</v>
      </c>
      <c r="C7" s="462"/>
      <c r="D7" s="463"/>
      <c r="E7" s="463"/>
      <c r="F7" s="463"/>
      <c r="G7" s="462"/>
      <c r="H7" s="463"/>
      <c r="I7" s="463"/>
      <c r="J7" s="463"/>
      <c r="K7" s="462"/>
      <c r="L7" s="463"/>
      <c r="M7" s="463"/>
      <c r="N7" s="466"/>
      <c r="O7" s="10"/>
      <c r="P7" s="10"/>
      <c r="Q7" s="10"/>
      <c r="R7" s="10"/>
      <c r="S7" s="10"/>
      <c r="T7" s="10"/>
    </row>
    <row r="8" spans="1:22" ht="13.5" customHeight="1" x14ac:dyDescent="0.2">
      <c r="B8" s="152" t="s">
        <v>129</v>
      </c>
      <c r="C8" s="153" t="s">
        <v>130</v>
      </c>
      <c r="D8" s="154" t="s">
        <v>131</v>
      </c>
      <c r="E8" s="155"/>
      <c r="F8" s="156"/>
      <c r="G8" s="157" t="s">
        <v>130</v>
      </c>
      <c r="H8" s="158" t="s">
        <v>131</v>
      </c>
      <c r="I8" s="159"/>
      <c r="J8" s="155"/>
      <c r="K8" s="157" t="s">
        <v>130</v>
      </c>
      <c r="L8" s="158" t="s">
        <v>131</v>
      </c>
      <c r="M8" s="159"/>
      <c r="N8" s="160"/>
    </row>
    <row r="9" spans="1:22" ht="12.95" customHeight="1" x14ac:dyDescent="0.2">
      <c r="B9" s="161"/>
      <c r="C9" s="157" t="s">
        <v>132</v>
      </c>
      <c r="D9" s="158" t="s">
        <v>133</v>
      </c>
      <c r="E9" s="162" t="s">
        <v>134</v>
      </c>
      <c r="F9" s="163" t="s">
        <v>135</v>
      </c>
      <c r="G9" s="157" t="s">
        <v>132</v>
      </c>
      <c r="H9" s="158" t="s">
        <v>133</v>
      </c>
      <c r="I9" s="159" t="s">
        <v>134</v>
      </c>
      <c r="J9" s="164" t="s">
        <v>135</v>
      </c>
      <c r="K9" s="157" t="s">
        <v>132</v>
      </c>
      <c r="L9" s="158" t="s">
        <v>133</v>
      </c>
      <c r="M9" s="159" t="s">
        <v>134</v>
      </c>
      <c r="N9" s="165" t="s">
        <v>135</v>
      </c>
    </row>
    <row r="10" spans="1:22" ht="12.95" customHeight="1" x14ac:dyDescent="0.2">
      <c r="B10" s="161"/>
      <c r="C10" s="157" t="s">
        <v>136</v>
      </c>
      <c r="D10" s="158" t="s">
        <v>137</v>
      </c>
      <c r="E10" s="162" t="s">
        <v>138</v>
      </c>
      <c r="F10" s="163" t="s">
        <v>139</v>
      </c>
      <c r="G10" s="157" t="s">
        <v>136</v>
      </c>
      <c r="H10" s="158" t="s">
        <v>137</v>
      </c>
      <c r="I10" s="159" t="s">
        <v>138</v>
      </c>
      <c r="J10" s="164" t="s">
        <v>139</v>
      </c>
      <c r="K10" s="157" t="s">
        <v>136</v>
      </c>
      <c r="L10" s="158" t="s">
        <v>137</v>
      </c>
      <c r="M10" s="159" t="s">
        <v>138</v>
      </c>
      <c r="N10" s="165" t="s">
        <v>139</v>
      </c>
    </row>
    <row r="11" spans="1:22" ht="12.95" customHeight="1" x14ac:dyDescent="0.2">
      <c r="B11" s="161"/>
      <c r="C11" s="157" t="s">
        <v>140</v>
      </c>
      <c r="D11" s="158" t="s">
        <v>141</v>
      </c>
      <c r="E11" s="162" t="s">
        <v>142</v>
      </c>
      <c r="F11" s="163"/>
      <c r="G11" s="157" t="s">
        <v>140</v>
      </c>
      <c r="H11" s="158" t="s">
        <v>141</v>
      </c>
      <c r="I11" s="159" t="s">
        <v>142</v>
      </c>
      <c r="J11" s="164"/>
      <c r="K11" s="157" t="s">
        <v>140</v>
      </c>
      <c r="L11" s="158" t="s">
        <v>141</v>
      </c>
      <c r="M11" s="159" t="s">
        <v>142</v>
      </c>
      <c r="N11" s="165"/>
    </row>
    <row r="12" spans="1:22" s="175" customFormat="1" ht="15" customHeight="1" thickBot="1" x14ac:dyDescent="0.25">
      <c r="A12" s="66"/>
      <c r="B12" s="166"/>
      <c r="C12" s="167" t="s">
        <v>2</v>
      </c>
      <c r="D12" s="168" t="s">
        <v>2</v>
      </c>
      <c r="E12" s="169" t="s">
        <v>2</v>
      </c>
      <c r="F12" s="170"/>
      <c r="G12" s="171" t="s">
        <v>2</v>
      </c>
      <c r="H12" s="172" t="s">
        <v>2</v>
      </c>
      <c r="I12" s="172" t="s">
        <v>2</v>
      </c>
      <c r="J12" s="173"/>
      <c r="K12" s="174" t="s">
        <v>2</v>
      </c>
      <c r="L12" s="172" t="s">
        <v>2</v>
      </c>
      <c r="M12" s="172" t="s">
        <v>2</v>
      </c>
      <c r="N12" s="165"/>
      <c r="O12" s="10"/>
      <c r="P12" s="10"/>
      <c r="Q12" s="10"/>
      <c r="R12" s="10"/>
      <c r="S12" s="10"/>
      <c r="T12" s="10"/>
    </row>
    <row r="13" spans="1:22" s="175" customFormat="1" ht="15" customHeight="1" x14ac:dyDescent="0.2">
      <c r="A13" s="66"/>
      <c r="B13" s="176"/>
      <c r="C13" s="177"/>
      <c r="D13" s="178"/>
      <c r="E13" s="179"/>
      <c r="F13" s="180"/>
      <c r="G13" s="181"/>
      <c r="H13" s="179"/>
      <c r="I13" s="179"/>
      <c r="J13" s="182"/>
      <c r="K13" s="181"/>
      <c r="L13" s="179"/>
      <c r="M13" s="179"/>
      <c r="N13" s="183"/>
      <c r="O13" s="10"/>
      <c r="P13" s="10"/>
      <c r="Q13" s="10"/>
      <c r="R13" s="10"/>
      <c r="S13" s="10"/>
      <c r="T13" s="10"/>
    </row>
    <row r="14" spans="1:22" s="175" customFormat="1" ht="16.5" customHeight="1" x14ac:dyDescent="0.2">
      <c r="A14" s="66"/>
      <c r="B14" s="184" t="s">
        <v>143</v>
      </c>
      <c r="C14" s="185">
        <v>189231765</v>
      </c>
      <c r="D14" s="186">
        <v>9267356</v>
      </c>
      <c r="E14" s="186">
        <v>179964409</v>
      </c>
      <c r="F14" s="187">
        <v>407</v>
      </c>
      <c r="G14" s="185">
        <v>196889825</v>
      </c>
      <c r="H14" s="186">
        <v>9267356</v>
      </c>
      <c r="I14" s="186">
        <v>187622469</v>
      </c>
      <c r="J14" s="187">
        <v>407</v>
      </c>
      <c r="K14" s="185">
        <v>196889825</v>
      </c>
      <c r="L14" s="186">
        <v>9267356</v>
      </c>
      <c r="M14" s="186">
        <v>187622469</v>
      </c>
      <c r="N14" s="188">
        <v>407</v>
      </c>
      <c r="O14" s="189"/>
      <c r="P14" s="189"/>
      <c r="Q14" s="189"/>
      <c r="R14" s="10"/>
      <c r="S14" s="10"/>
      <c r="T14" s="10"/>
      <c r="U14" s="10"/>
      <c r="V14" s="10"/>
    </row>
    <row r="15" spans="1:22" ht="16.5" customHeight="1" x14ac:dyDescent="0.2">
      <c r="B15" s="190" t="s">
        <v>144</v>
      </c>
      <c r="C15" s="185">
        <v>543104272</v>
      </c>
      <c r="D15" s="186">
        <v>320950304</v>
      </c>
      <c r="E15" s="186">
        <v>222153968</v>
      </c>
      <c r="F15" s="187">
        <v>360</v>
      </c>
      <c r="G15" s="185">
        <v>556057633</v>
      </c>
      <c r="H15" s="186">
        <v>324450304</v>
      </c>
      <c r="I15" s="186">
        <v>231607329</v>
      </c>
      <c r="J15" s="187">
        <v>360</v>
      </c>
      <c r="K15" s="185">
        <v>552557633</v>
      </c>
      <c r="L15" s="186">
        <v>320950304</v>
      </c>
      <c r="M15" s="186">
        <v>231607329</v>
      </c>
      <c r="N15" s="188">
        <v>360</v>
      </c>
      <c r="O15" s="189"/>
      <c r="P15" s="189"/>
      <c r="Q15" s="189"/>
      <c r="U15" s="10"/>
      <c r="V15" s="10"/>
    </row>
    <row r="16" spans="1:22" ht="16.5" customHeight="1" x14ac:dyDescent="0.2">
      <c r="B16" s="190" t="s">
        <v>145</v>
      </c>
      <c r="C16" s="185">
        <v>249760011</v>
      </c>
      <c r="D16" s="186">
        <v>132988022</v>
      </c>
      <c r="E16" s="186">
        <v>116771989</v>
      </c>
      <c r="F16" s="187">
        <v>203</v>
      </c>
      <c r="G16" s="185">
        <v>254729032</v>
      </c>
      <c r="H16" s="186">
        <v>132988022</v>
      </c>
      <c r="I16" s="186">
        <v>121741010</v>
      </c>
      <c r="J16" s="187">
        <v>203</v>
      </c>
      <c r="K16" s="185">
        <v>254729032</v>
      </c>
      <c r="L16" s="186">
        <v>132988022</v>
      </c>
      <c r="M16" s="186">
        <v>121741010</v>
      </c>
      <c r="N16" s="188">
        <v>203</v>
      </c>
      <c r="O16" s="189"/>
      <c r="P16" s="189"/>
      <c r="Q16" s="189"/>
      <c r="U16" s="10"/>
      <c r="V16" s="10"/>
    </row>
    <row r="17" spans="1:22" ht="16.5" customHeight="1" x14ac:dyDescent="0.2">
      <c r="B17" s="190" t="s">
        <v>146</v>
      </c>
      <c r="C17" s="185">
        <v>431816260</v>
      </c>
      <c r="D17" s="186">
        <v>68005624</v>
      </c>
      <c r="E17" s="186">
        <v>363810636</v>
      </c>
      <c r="F17" s="187">
        <v>574</v>
      </c>
      <c r="G17" s="185">
        <v>447297564</v>
      </c>
      <c r="H17" s="186">
        <v>68005624</v>
      </c>
      <c r="I17" s="186">
        <v>379291940</v>
      </c>
      <c r="J17" s="187">
        <v>574</v>
      </c>
      <c r="K17" s="185">
        <v>447297564</v>
      </c>
      <c r="L17" s="186">
        <v>68005624</v>
      </c>
      <c r="M17" s="186">
        <v>379291940</v>
      </c>
      <c r="N17" s="188">
        <v>574</v>
      </c>
      <c r="O17" s="189"/>
      <c r="P17" s="189"/>
      <c r="Q17" s="189"/>
      <c r="U17" s="10"/>
      <c r="V17" s="10"/>
    </row>
    <row r="18" spans="1:22" ht="16.5" customHeight="1" x14ac:dyDescent="0.2">
      <c r="B18" s="190" t="s">
        <v>147</v>
      </c>
      <c r="C18" s="185">
        <v>1025746314</v>
      </c>
      <c r="D18" s="186">
        <v>9538950</v>
      </c>
      <c r="E18" s="186">
        <v>1016207364</v>
      </c>
      <c r="F18" s="187">
        <v>2122.5</v>
      </c>
      <c r="G18" s="185">
        <v>1068989181</v>
      </c>
      <c r="H18" s="186">
        <v>9538950</v>
      </c>
      <c r="I18" s="186">
        <v>1059450231</v>
      </c>
      <c r="J18" s="187">
        <v>2122.5</v>
      </c>
      <c r="K18" s="185">
        <v>1066008616</v>
      </c>
      <c r="L18" s="186">
        <v>9538950</v>
      </c>
      <c r="M18" s="186">
        <v>1056469666</v>
      </c>
      <c r="N18" s="188">
        <v>2118</v>
      </c>
      <c r="O18" s="189"/>
      <c r="P18" s="189"/>
      <c r="Q18" s="189"/>
      <c r="U18" s="10"/>
      <c r="V18" s="10"/>
    </row>
    <row r="19" spans="1:22" ht="16.5" customHeight="1" x14ac:dyDescent="0.2">
      <c r="B19" s="190" t="s">
        <v>148</v>
      </c>
      <c r="C19" s="185">
        <v>20922904026</v>
      </c>
      <c r="D19" s="186">
        <v>1421116880</v>
      </c>
      <c r="E19" s="186">
        <v>19501787146</v>
      </c>
      <c r="F19" s="187">
        <v>38681</v>
      </c>
      <c r="G19" s="185">
        <v>22338136909</v>
      </c>
      <c r="H19" s="186">
        <v>1421116880</v>
      </c>
      <c r="I19" s="186">
        <v>20917020029</v>
      </c>
      <c r="J19" s="187">
        <v>39881</v>
      </c>
      <c r="K19" s="185">
        <v>22338743089</v>
      </c>
      <c r="L19" s="186">
        <v>1421116880</v>
      </c>
      <c r="M19" s="186">
        <v>20917626209</v>
      </c>
      <c r="N19" s="188">
        <v>39882</v>
      </c>
      <c r="O19" s="189"/>
      <c r="P19" s="189"/>
      <c r="Q19" s="189"/>
      <c r="U19" s="10"/>
      <c r="V19" s="10"/>
    </row>
    <row r="20" spans="1:22" ht="16.5" customHeight="1" x14ac:dyDescent="0.2">
      <c r="B20" s="190" t="s">
        <v>149</v>
      </c>
      <c r="C20" s="185">
        <v>162273272</v>
      </c>
      <c r="D20" s="186">
        <v>1420438</v>
      </c>
      <c r="E20" s="186">
        <v>160852834</v>
      </c>
      <c r="F20" s="187">
        <v>262</v>
      </c>
      <c r="G20" s="185">
        <v>169118073</v>
      </c>
      <c r="H20" s="186">
        <v>1420438</v>
      </c>
      <c r="I20" s="186">
        <v>167697635</v>
      </c>
      <c r="J20" s="187">
        <v>262</v>
      </c>
      <c r="K20" s="185">
        <v>169118073</v>
      </c>
      <c r="L20" s="186">
        <v>1420438</v>
      </c>
      <c r="M20" s="186">
        <v>167697635</v>
      </c>
      <c r="N20" s="188">
        <v>262</v>
      </c>
      <c r="O20" s="189"/>
      <c r="P20" s="189"/>
      <c r="Q20" s="189"/>
      <c r="U20" s="10"/>
      <c r="V20" s="10"/>
    </row>
    <row r="21" spans="1:22" ht="16.5" customHeight="1" x14ac:dyDescent="0.2">
      <c r="B21" s="190" t="s">
        <v>150</v>
      </c>
      <c r="C21" s="185">
        <v>87323406</v>
      </c>
      <c r="D21" s="186">
        <v>7992380</v>
      </c>
      <c r="E21" s="186">
        <v>79331026</v>
      </c>
      <c r="F21" s="187">
        <v>154</v>
      </c>
      <c r="G21" s="185">
        <v>90699194</v>
      </c>
      <c r="H21" s="186">
        <v>7992380</v>
      </c>
      <c r="I21" s="186">
        <v>82706814</v>
      </c>
      <c r="J21" s="187">
        <v>154</v>
      </c>
      <c r="K21" s="185">
        <v>90699194</v>
      </c>
      <c r="L21" s="186">
        <v>7992380</v>
      </c>
      <c r="M21" s="186">
        <v>82706814</v>
      </c>
      <c r="N21" s="188">
        <v>154</v>
      </c>
      <c r="O21" s="189"/>
      <c r="P21" s="189"/>
      <c r="Q21" s="189"/>
      <c r="U21" s="10"/>
      <c r="V21" s="10"/>
    </row>
    <row r="22" spans="1:22" ht="16.5" customHeight="1" x14ac:dyDescent="0.2">
      <c r="B22" s="190" t="s">
        <v>151</v>
      </c>
      <c r="C22" s="185">
        <v>12378039588</v>
      </c>
      <c r="D22" s="186">
        <v>54886923</v>
      </c>
      <c r="E22" s="186">
        <v>12323152665</v>
      </c>
      <c r="F22" s="187">
        <v>23604</v>
      </c>
      <c r="G22" s="185">
        <v>12897491599</v>
      </c>
      <c r="H22" s="186">
        <v>54886923</v>
      </c>
      <c r="I22" s="186">
        <v>12842604676</v>
      </c>
      <c r="J22" s="187">
        <v>23604</v>
      </c>
      <c r="K22" s="185">
        <v>12897491599</v>
      </c>
      <c r="L22" s="186">
        <v>54886923</v>
      </c>
      <c r="M22" s="186">
        <v>12842604676</v>
      </c>
      <c r="N22" s="188">
        <v>23604</v>
      </c>
      <c r="O22" s="189"/>
      <c r="P22" s="189"/>
      <c r="Q22" s="189"/>
      <c r="U22" s="10"/>
      <c r="V22" s="10"/>
    </row>
    <row r="23" spans="1:22" s="175" customFormat="1" ht="16.5" customHeight="1" x14ac:dyDescent="0.2">
      <c r="A23" s="66"/>
      <c r="B23" s="190" t="s">
        <v>152</v>
      </c>
      <c r="C23" s="185">
        <v>8572760063</v>
      </c>
      <c r="D23" s="186">
        <v>39614979</v>
      </c>
      <c r="E23" s="186">
        <v>8533145084</v>
      </c>
      <c r="F23" s="187">
        <v>21581.450000000004</v>
      </c>
      <c r="G23" s="185">
        <v>8935872619</v>
      </c>
      <c r="H23" s="186">
        <v>39614979</v>
      </c>
      <c r="I23" s="186">
        <v>8896257640</v>
      </c>
      <c r="J23" s="187">
        <v>21581.450000000004</v>
      </c>
      <c r="K23" s="185">
        <v>8935872619</v>
      </c>
      <c r="L23" s="186">
        <v>39614979</v>
      </c>
      <c r="M23" s="186">
        <v>8896257640</v>
      </c>
      <c r="N23" s="188">
        <v>21581.450000000004</v>
      </c>
      <c r="O23" s="189"/>
      <c r="P23" s="189"/>
      <c r="Q23" s="189"/>
      <c r="R23" s="10"/>
      <c r="S23" s="10"/>
      <c r="T23" s="10"/>
      <c r="U23" s="10"/>
      <c r="V23" s="10"/>
    </row>
    <row r="24" spans="1:22" ht="16.5" customHeight="1" x14ac:dyDescent="0.2">
      <c r="B24" s="190" t="s">
        <v>153</v>
      </c>
      <c r="C24" s="185">
        <v>38813525430</v>
      </c>
      <c r="D24" s="186">
        <v>285019945</v>
      </c>
      <c r="E24" s="186">
        <v>38528505485</v>
      </c>
      <c r="F24" s="187">
        <v>74020.06</v>
      </c>
      <c r="G24" s="185">
        <v>40449760584</v>
      </c>
      <c r="H24" s="186">
        <v>285019945</v>
      </c>
      <c r="I24" s="186">
        <v>40164740639</v>
      </c>
      <c r="J24" s="187">
        <v>74013.81</v>
      </c>
      <c r="K24" s="185">
        <v>40446484866</v>
      </c>
      <c r="L24" s="186">
        <v>285019945</v>
      </c>
      <c r="M24" s="186">
        <v>40161464921</v>
      </c>
      <c r="N24" s="188">
        <v>74007.56</v>
      </c>
      <c r="O24" s="189"/>
      <c r="P24" s="189"/>
      <c r="Q24" s="189"/>
      <c r="U24" s="10"/>
      <c r="V24" s="10"/>
    </row>
    <row r="25" spans="1:22" ht="16.5" customHeight="1" x14ac:dyDescent="0.2">
      <c r="B25" s="190" t="s">
        <v>154</v>
      </c>
      <c r="C25" s="185">
        <v>1589036654</v>
      </c>
      <c r="D25" s="186">
        <v>32411755</v>
      </c>
      <c r="E25" s="186">
        <v>1556624899</v>
      </c>
      <c r="F25" s="187">
        <v>3278</v>
      </c>
      <c r="G25" s="185">
        <v>1655276012</v>
      </c>
      <c r="H25" s="186">
        <v>32411755</v>
      </c>
      <c r="I25" s="186">
        <v>1622864257</v>
      </c>
      <c r="J25" s="187">
        <v>3278</v>
      </c>
      <c r="K25" s="185">
        <v>1655276012</v>
      </c>
      <c r="L25" s="186">
        <v>32411755</v>
      </c>
      <c r="M25" s="186">
        <v>1622864257</v>
      </c>
      <c r="N25" s="188">
        <v>3278</v>
      </c>
      <c r="O25" s="189"/>
      <c r="P25" s="189"/>
      <c r="Q25" s="189"/>
      <c r="U25" s="10"/>
      <c r="V25" s="10"/>
    </row>
    <row r="26" spans="1:22" ht="16.5" customHeight="1" x14ac:dyDescent="0.2">
      <c r="B26" s="190" t="s">
        <v>155</v>
      </c>
      <c r="C26" s="185">
        <v>350111301</v>
      </c>
      <c r="D26" s="186">
        <v>7042370</v>
      </c>
      <c r="E26" s="186">
        <v>343068931</v>
      </c>
      <c r="F26" s="187">
        <v>554</v>
      </c>
      <c r="G26" s="185">
        <v>364709978</v>
      </c>
      <c r="H26" s="186">
        <v>7042370</v>
      </c>
      <c r="I26" s="186">
        <v>357667608</v>
      </c>
      <c r="J26" s="187">
        <v>554</v>
      </c>
      <c r="K26" s="185">
        <v>364709978</v>
      </c>
      <c r="L26" s="186">
        <v>7042370</v>
      </c>
      <c r="M26" s="186">
        <v>357667608</v>
      </c>
      <c r="N26" s="188">
        <v>554</v>
      </c>
      <c r="O26" s="189"/>
      <c r="P26" s="189"/>
      <c r="Q26" s="189"/>
      <c r="U26" s="10"/>
      <c r="V26" s="10"/>
    </row>
    <row r="27" spans="1:22" ht="16.5" customHeight="1" x14ac:dyDescent="0.2">
      <c r="B27" s="190" t="s">
        <v>156</v>
      </c>
      <c r="C27" s="185">
        <v>50462071</v>
      </c>
      <c r="D27" s="186">
        <v>18741881</v>
      </c>
      <c r="E27" s="186">
        <v>31720190</v>
      </c>
      <c r="F27" s="187">
        <v>59</v>
      </c>
      <c r="G27" s="185">
        <v>51811866</v>
      </c>
      <c r="H27" s="186">
        <v>18741881</v>
      </c>
      <c r="I27" s="186">
        <v>33069985</v>
      </c>
      <c r="J27" s="187">
        <v>59</v>
      </c>
      <c r="K27" s="185">
        <v>51811866</v>
      </c>
      <c r="L27" s="186">
        <v>18741881</v>
      </c>
      <c r="M27" s="186">
        <v>33069985</v>
      </c>
      <c r="N27" s="188">
        <v>59</v>
      </c>
      <c r="O27" s="189"/>
      <c r="P27" s="189"/>
      <c r="Q27" s="189"/>
      <c r="U27" s="10"/>
      <c r="V27" s="10"/>
    </row>
    <row r="28" spans="1:22" ht="16.5" customHeight="1" x14ac:dyDescent="0.2">
      <c r="B28" s="190" t="s">
        <v>157</v>
      </c>
      <c r="C28" s="185">
        <v>1038099977</v>
      </c>
      <c r="D28" s="186">
        <v>34673031</v>
      </c>
      <c r="E28" s="186">
        <v>1003426946</v>
      </c>
      <c r="F28" s="187">
        <v>1798</v>
      </c>
      <c r="G28" s="185">
        <v>1080798994</v>
      </c>
      <c r="H28" s="186">
        <v>34673031</v>
      </c>
      <c r="I28" s="186">
        <v>1046125963</v>
      </c>
      <c r="J28" s="187">
        <v>1798</v>
      </c>
      <c r="K28" s="185">
        <v>1080798994</v>
      </c>
      <c r="L28" s="186">
        <v>34673031</v>
      </c>
      <c r="M28" s="186">
        <v>1046125963</v>
      </c>
      <c r="N28" s="188">
        <v>1798</v>
      </c>
      <c r="O28" s="189"/>
      <c r="P28" s="189"/>
      <c r="Q28" s="189"/>
      <c r="U28" s="10"/>
      <c r="V28" s="10"/>
    </row>
    <row r="29" spans="1:22" ht="16.5" customHeight="1" x14ac:dyDescent="0.2">
      <c r="B29" s="190" t="s">
        <v>158</v>
      </c>
      <c r="C29" s="185">
        <v>525501340</v>
      </c>
      <c r="D29" s="186">
        <v>8881752</v>
      </c>
      <c r="E29" s="186">
        <v>516619588</v>
      </c>
      <c r="F29" s="187">
        <v>936</v>
      </c>
      <c r="G29" s="185">
        <v>547485152</v>
      </c>
      <c r="H29" s="186">
        <v>8881752</v>
      </c>
      <c r="I29" s="186">
        <v>538603400</v>
      </c>
      <c r="J29" s="187">
        <v>936</v>
      </c>
      <c r="K29" s="185">
        <v>547485152</v>
      </c>
      <c r="L29" s="186">
        <v>8881752</v>
      </c>
      <c r="M29" s="186">
        <v>538603400</v>
      </c>
      <c r="N29" s="188">
        <v>936</v>
      </c>
      <c r="O29" s="189"/>
      <c r="P29" s="189"/>
      <c r="Q29" s="189"/>
      <c r="U29" s="10"/>
      <c r="V29" s="10"/>
    </row>
    <row r="30" spans="1:22" ht="16.5" customHeight="1" x14ac:dyDescent="0.2">
      <c r="B30" s="190" t="s">
        <v>159</v>
      </c>
      <c r="C30" s="185">
        <v>311707182</v>
      </c>
      <c r="D30" s="186">
        <v>14058577</v>
      </c>
      <c r="E30" s="186">
        <v>297648605</v>
      </c>
      <c r="F30" s="187">
        <v>596</v>
      </c>
      <c r="G30" s="185">
        <v>324373080</v>
      </c>
      <c r="H30" s="186">
        <v>14058577</v>
      </c>
      <c r="I30" s="186">
        <v>310314503</v>
      </c>
      <c r="J30" s="187">
        <v>596</v>
      </c>
      <c r="K30" s="185">
        <v>324373080</v>
      </c>
      <c r="L30" s="186">
        <v>14058577</v>
      </c>
      <c r="M30" s="186">
        <v>310314503</v>
      </c>
      <c r="N30" s="188">
        <v>596</v>
      </c>
      <c r="O30" s="189"/>
      <c r="P30" s="189"/>
      <c r="Q30" s="189"/>
      <c r="U30" s="10"/>
      <c r="V30" s="10"/>
    </row>
    <row r="31" spans="1:22" ht="16.5" customHeight="1" x14ac:dyDescent="0.2">
      <c r="B31" s="190" t="s">
        <v>160</v>
      </c>
      <c r="C31" s="185">
        <v>2851671952</v>
      </c>
      <c r="D31" s="186">
        <v>44368473</v>
      </c>
      <c r="E31" s="186">
        <v>2807303479</v>
      </c>
      <c r="F31" s="187">
        <v>5996.63</v>
      </c>
      <c r="G31" s="185">
        <v>2971131675</v>
      </c>
      <c r="H31" s="186">
        <v>44368473</v>
      </c>
      <c r="I31" s="186">
        <v>2926763202</v>
      </c>
      <c r="J31" s="187">
        <v>5996.63</v>
      </c>
      <c r="K31" s="185">
        <v>2971131675</v>
      </c>
      <c r="L31" s="186">
        <v>44368473</v>
      </c>
      <c r="M31" s="186">
        <v>2926763202</v>
      </c>
      <c r="N31" s="188">
        <v>5996.63</v>
      </c>
      <c r="O31" s="189"/>
      <c r="P31" s="189"/>
      <c r="Q31" s="189"/>
      <c r="U31" s="10"/>
      <c r="V31" s="10"/>
    </row>
    <row r="32" spans="1:22" ht="16.5" customHeight="1" x14ac:dyDescent="0.2">
      <c r="B32" s="190" t="s">
        <v>161</v>
      </c>
      <c r="C32" s="185">
        <v>128439639686</v>
      </c>
      <c r="D32" s="186">
        <v>1138271279</v>
      </c>
      <c r="E32" s="186">
        <v>127301368407</v>
      </c>
      <c r="F32" s="187">
        <v>272564.03000000003</v>
      </c>
      <c r="G32" s="185">
        <v>133855549953</v>
      </c>
      <c r="H32" s="186">
        <v>1138271279</v>
      </c>
      <c r="I32" s="186">
        <v>132717278674</v>
      </c>
      <c r="J32" s="187">
        <v>272564.03000000003</v>
      </c>
      <c r="K32" s="185">
        <v>133855549953</v>
      </c>
      <c r="L32" s="186">
        <v>1138271279</v>
      </c>
      <c r="M32" s="186">
        <v>132717278674</v>
      </c>
      <c r="N32" s="188">
        <v>272564.03000000003</v>
      </c>
      <c r="O32" s="189"/>
      <c r="P32" s="189"/>
      <c r="Q32" s="189"/>
      <c r="U32" s="10"/>
      <c r="V32" s="10"/>
    </row>
    <row r="33" spans="1:22" ht="16.5" customHeight="1" x14ac:dyDescent="0.2">
      <c r="B33" s="190" t="s">
        <v>162</v>
      </c>
      <c r="C33" s="185">
        <v>3200534928</v>
      </c>
      <c r="D33" s="186">
        <v>143845044</v>
      </c>
      <c r="E33" s="186">
        <v>3056689884</v>
      </c>
      <c r="F33" s="187">
        <v>6852.6</v>
      </c>
      <c r="G33" s="185">
        <v>3330606838</v>
      </c>
      <c r="H33" s="186">
        <v>143845044</v>
      </c>
      <c r="I33" s="186">
        <v>3186761794</v>
      </c>
      <c r="J33" s="187">
        <v>6852.6</v>
      </c>
      <c r="K33" s="185">
        <v>3330606838</v>
      </c>
      <c r="L33" s="186">
        <v>143845044</v>
      </c>
      <c r="M33" s="186">
        <v>3186761794</v>
      </c>
      <c r="N33" s="188">
        <v>6852.6</v>
      </c>
      <c r="O33" s="189"/>
      <c r="P33" s="189"/>
      <c r="Q33" s="189"/>
      <c r="U33" s="10"/>
      <c r="V33" s="10"/>
    </row>
    <row r="34" spans="1:22" ht="16.5" customHeight="1" x14ac:dyDescent="0.2">
      <c r="B34" s="190" t="s">
        <v>163</v>
      </c>
      <c r="C34" s="185">
        <v>1676044403</v>
      </c>
      <c r="D34" s="186">
        <v>36402126</v>
      </c>
      <c r="E34" s="186">
        <v>1639642277</v>
      </c>
      <c r="F34" s="187">
        <v>3578.6099999999997</v>
      </c>
      <c r="G34" s="185">
        <v>1745816414</v>
      </c>
      <c r="H34" s="186">
        <v>36402126</v>
      </c>
      <c r="I34" s="186">
        <v>1709414288</v>
      </c>
      <c r="J34" s="187">
        <v>3578.6099999999997</v>
      </c>
      <c r="K34" s="185">
        <v>1745816414</v>
      </c>
      <c r="L34" s="186">
        <v>36402126</v>
      </c>
      <c r="M34" s="186">
        <v>1709414288</v>
      </c>
      <c r="N34" s="188">
        <v>3578.6099999999997</v>
      </c>
      <c r="O34" s="189"/>
      <c r="P34" s="189"/>
      <c r="Q34" s="189"/>
      <c r="U34" s="10"/>
      <c r="V34" s="10"/>
    </row>
    <row r="35" spans="1:22" ht="16.5" customHeight="1" x14ac:dyDescent="0.2">
      <c r="B35" s="190" t="s">
        <v>164</v>
      </c>
      <c r="C35" s="185">
        <v>18727623011</v>
      </c>
      <c r="D35" s="186">
        <v>6183607118</v>
      </c>
      <c r="E35" s="186">
        <v>12544015893</v>
      </c>
      <c r="F35" s="187">
        <v>25385</v>
      </c>
      <c r="G35" s="185">
        <v>19177984409</v>
      </c>
      <c r="H35" s="186">
        <v>6183607118</v>
      </c>
      <c r="I35" s="186">
        <v>12994377291</v>
      </c>
      <c r="J35" s="187">
        <v>25385</v>
      </c>
      <c r="K35" s="185">
        <v>19177984409</v>
      </c>
      <c r="L35" s="186">
        <v>6183607118</v>
      </c>
      <c r="M35" s="186">
        <v>12994377291</v>
      </c>
      <c r="N35" s="188">
        <v>25385</v>
      </c>
      <c r="O35" s="189"/>
      <c r="P35" s="189"/>
      <c r="Q35" s="189"/>
      <c r="U35" s="10"/>
      <c r="V35" s="10"/>
    </row>
    <row r="36" spans="1:22" ht="16.5" customHeight="1" x14ac:dyDescent="0.2">
      <c r="B36" s="190" t="s">
        <v>165</v>
      </c>
      <c r="C36" s="185">
        <v>70743813</v>
      </c>
      <c r="D36" s="186">
        <v>1890912</v>
      </c>
      <c r="E36" s="186">
        <v>68852901</v>
      </c>
      <c r="F36" s="187">
        <v>114</v>
      </c>
      <c r="G36" s="185">
        <v>73405587</v>
      </c>
      <c r="H36" s="186">
        <v>1890912</v>
      </c>
      <c r="I36" s="186">
        <v>71514675</v>
      </c>
      <c r="J36" s="187">
        <v>114</v>
      </c>
      <c r="K36" s="185">
        <v>73405587</v>
      </c>
      <c r="L36" s="186">
        <v>1890912</v>
      </c>
      <c r="M36" s="186">
        <v>71514675</v>
      </c>
      <c r="N36" s="188">
        <v>114</v>
      </c>
      <c r="O36" s="189"/>
      <c r="P36" s="189"/>
      <c r="Q36" s="189"/>
      <c r="U36" s="10"/>
      <c r="V36" s="10"/>
    </row>
    <row r="37" spans="1:22" ht="16.5" customHeight="1" x14ac:dyDescent="0.2">
      <c r="B37" s="190" t="s">
        <v>166</v>
      </c>
      <c r="C37" s="185">
        <v>109681418</v>
      </c>
      <c r="D37" s="186">
        <v>864182</v>
      </c>
      <c r="E37" s="186">
        <v>108817236</v>
      </c>
      <c r="F37" s="187">
        <v>212</v>
      </c>
      <c r="G37" s="185">
        <v>114311939</v>
      </c>
      <c r="H37" s="186">
        <v>864182</v>
      </c>
      <c r="I37" s="186">
        <v>113447757</v>
      </c>
      <c r="J37" s="187">
        <v>212</v>
      </c>
      <c r="K37" s="185">
        <v>114311939</v>
      </c>
      <c r="L37" s="186">
        <v>864182</v>
      </c>
      <c r="M37" s="186">
        <v>113447757</v>
      </c>
      <c r="N37" s="188">
        <v>212</v>
      </c>
      <c r="O37" s="189"/>
      <c r="P37" s="189"/>
      <c r="Q37" s="189"/>
      <c r="U37" s="10"/>
      <c r="V37" s="10"/>
    </row>
    <row r="38" spans="1:22" ht="16.5" customHeight="1" x14ac:dyDescent="0.2">
      <c r="B38" s="190" t="s">
        <v>167</v>
      </c>
      <c r="C38" s="185">
        <v>641816694</v>
      </c>
      <c r="D38" s="186">
        <v>30000000</v>
      </c>
      <c r="E38" s="186">
        <v>611816694</v>
      </c>
      <c r="F38" s="187">
        <v>1291</v>
      </c>
      <c r="G38" s="185">
        <v>667730476</v>
      </c>
      <c r="H38" s="186">
        <v>30000000</v>
      </c>
      <c r="I38" s="186">
        <v>637730476</v>
      </c>
      <c r="J38" s="187">
        <v>1291</v>
      </c>
      <c r="K38" s="185">
        <v>667730476</v>
      </c>
      <c r="L38" s="186">
        <v>30000000</v>
      </c>
      <c r="M38" s="186">
        <v>637730476</v>
      </c>
      <c r="N38" s="188">
        <v>1291</v>
      </c>
      <c r="O38" s="189"/>
      <c r="P38" s="189"/>
      <c r="Q38" s="189"/>
      <c r="U38" s="10"/>
      <c r="V38" s="10"/>
    </row>
    <row r="39" spans="1:22" ht="16.5" customHeight="1" x14ac:dyDescent="0.2">
      <c r="B39" s="190" t="s">
        <v>168</v>
      </c>
      <c r="C39" s="185">
        <v>2048628660</v>
      </c>
      <c r="D39" s="186">
        <v>3546909</v>
      </c>
      <c r="E39" s="186">
        <v>2045081751</v>
      </c>
      <c r="F39" s="187">
        <v>4952</v>
      </c>
      <c r="G39" s="185">
        <v>2135653417</v>
      </c>
      <c r="H39" s="186">
        <v>3546909</v>
      </c>
      <c r="I39" s="186">
        <v>2132106508</v>
      </c>
      <c r="J39" s="187">
        <v>4952</v>
      </c>
      <c r="K39" s="185">
        <v>2135653417</v>
      </c>
      <c r="L39" s="186">
        <v>3546909</v>
      </c>
      <c r="M39" s="186">
        <v>2132106508</v>
      </c>
      <c r="N39" s="188">
        <v>4952</v>
      </c>
      <c r="O39" s="189"/>
      <c r="P39" s="189"/>
      <c r="Q39" s="189"/>
      <c r="U39" s="10"/>
      <c r="V39" s="10"/>
    </row>
    <row r="40" spans="1:22" ht="16.5" customHeight="1" x14ac:dyDescent="0.2">
      <c r="B40" s="190" t="s">
        <v>169</v>
      </c>
      <c r="C40" s="185">
        <v>108539995</v>
      </c>
      <c r="D40" s="186">
        <v>93813</v>
      </c>
      <c r="E40" s="186">
        <v>108446182</v>
      </c>
      <c r="F40" s="187">
        <v>193</v>
      </c>
      <c r="G40" s="185">
        <v>113154726</v>
      </c>
      <c r="H40" s="186">
        <v>93813</v>
      </c>
      <c r="I40" s="186">
        <v>113060913</v>
      </c>
      <c r="J40" s="187">
        <v>193</v>
      </c>
      <c r="K40" s="185">
        <v>113154726</v>
      </c>
      <c r="L40" s="186">
        <v>93813</v>
      </c>
      <c r="M40" s="186">
        <v>113060913</v>
      </c>
      <c r="N40" s="188">
        <v>193</v>
      </c>
      <c r="O40" s="189"/>
      <c r="P40" s="189"/>
      <c r="Q40" s="189"/>
      <c r="U40" s="10"/>
      <c r="V40" s="10"/>
    </row>
    <row r="41" spans="1:22" ht="16.5" customHeight="1" x14ac:dyDescent="0.2">
      <c r="B41" s="190" t="s">
        <v>170</v>
      </c>
      <c r="C41" s="185">
        <v>177082323</v>
      </c>
      <c r="D41" s="186">
        <v>2315524</v>
      </c>
      <c r="E41" s="186">
        <v>174766799</v>
      </c>
      <c r="F41" s="187">
        <v>289</v>
      </c>
      <c r="G41" s="185">
        <v>184103906</v>
      </c>
      <c r="H41" s="186">
        <v>2315524</v>
      </c>
      <c r="I41" s="186">
        <v>181788382</v>
      </c>
      <c r="J41" s="187">
        <v>289</v>
      </c>
      <c r="K41" s="185">
        <v>184103906</v>
      </c>
      <c r="L41" s="186">
        <v>2315524</v>
      </c>
      <c r="M41" s="186">
        <v>181788382</v>
      </c>
      <c r="N41" s="188">
        <v>289</v>
      </c>
      <c r="O41" s="189"/>
      <c r="P41" s="189"/>
      <c r="Q41" s="189"/>
      <c r="U41" s="10"/>
      <c r="V41" s="10"/>
    </row>
    <row r="42" spans="1:22" ht="16.5" customHeight="1" x14ac:dyDescent="0.2">
      <c r="B42" s="190" t="s">
        <v>171</v>
      </c>
      <c r="C42" s="185">
        <v>142723536</v>
      </c>
      <c r="D42" s="186">
        <v>2003182</v>
      </c>
      <c r="E42" s="186">
        <v>140720354</v>
      </c>
      <c r="F42" s="187">
        <v>251</v>
      </c>
      <c r="G42" s="185">
        <v>148291483</v>
      </c>
      <c r="H42" s="186">
        <v>2003182</v>
      </c>
      <c r="I42" s="186">
        <v>146288301</v>
      </c>
      <c r="J42" s="187">
        <v>251</v>
      </c>
      <c r="K42" s="185">
        <v>148291483</v>
      </c>
      <c r="L42" s="186">
        <v>2003182</v>
      </c>
      <c r="M42" s="186">
        <v>146288301</v>
      </c>
      <c r="N42" s="188">
        <v>251</v>
      </c>
      <c r="O42" s="189"/>
      <c r="P42" s="189"/>
      <c r="Q42" s="189"/>
      <c r="U42" s="10"/>
      <c r="V42" s="10"/>
    </row>
    <row r="43" spans="1:22" ht="16.5" customHeight="1" x14ac:dyDescent="0.2">
      <c r="B43" s="190" t="s">
        <v>172</v>
      </c>
      <c r="C43" s="185">
        <v>112024952</v>
      </c>
      <c r="D43" s="186">
        <v>4505852</v>
      </c>
      <c r="E43" s="186">
        <v>107519100</v>
      </c>
      <c r="F43" s="187">
        <v>265</v>
      </c>
      <c r="G43" s="185">
        <v>116600233</v>
      </c>
      <c r="H43" s="186">
        <v>4505852</v>
      </c>
      <c r="I43" s="186">
        <v>112094381</v>
      </c>
      <c r="J43" s="187">
        <v>265</v>
      </c>
      <c r="K43" s="185">
        <v>116600233</v>
      </c>
      <c r="L43" s="186">
        <v>4505852</v>
      </c>
      <c r="M43" s="186">
        <v>112094381</v>
      </c>
      <c r="N43" s="188">
        <v>265</v>
      </c>
      <c r="O43" s="189"/>
      <c r="P43" s="189"/>
      <c r="Q43" s="189"/>
      <c r="U43" s="10"/>
      <c r="V43" s="10"/>
    </row>
    <row r="44" spans="1:22" ht="16.5" customHeight="1" x14ac:dyDescent="0.2">
      <c r="B44" s="190" t="s">
        <v>173</v>
      </c>
      <c r="C44" s="185">
        <v>125251643</v>
      </c>
      <c r="D44" s="186">
        <v>51368192</v>
      </c>
      <c r="E44" s="186">
        <v>73883451</v>
      </c>
      <c r="F44" s="187">
        <v>129</v>
      </c>
      <c r="G44" s="185">
        <v>122482028</v>
      </c>
      <c r="H44" s="186">
        <v>45454600</v>
      </c>
      <c r="I44" s="186">
        <v>77027428</v>
      </c>
      <c r="J44" s="187">
        <v>129</v>
      </c>
      <c r="K44" s="185">
        <v>122482028</v>
      </c>
      <c r="L44" s="186">
        <v>45454600</v>
      </c>
      <c r="M44" s="186">
        <v>77027428</v>
      </c>
      <c r="N44" s="188">
        <v>129</v>
      </c>
      <c r="O44" s="189"/>
      <c r="P44" s="189"/>
      <c r="Q44" s="189"/>
      <c r="U44" s="10"/>
      <c r="V44" s="10"/>
    </row>
    <row r="45" spans="1:22" ht="16.5" customHeight="1" x14ac:dyDescent="0.2">
      <c r="B45" s="190" t="s">
        <v>174</v>
      </c>
      <c r="C45" s="185">
        <v>13852164</v>
      </c>
      <c r="D45" s="186">
        <v>6200400</v>
      </c>
      <c r="E45" s="186">
        <v>7651764</v>
      </c>
      <c r="F45" s="187">
        <v>12</v>
      </c>
      <c r="G45" s="185">
        <v>14177771</v>
      </c>
      <c r="H45" s="186">
        <v>6200400</v>
      </c>
      <c r="I45" s="186">
        <v>7977371</v>
      </c>
      <c r="J45" s="187">
        <v>12</v>
      </c>
      <c r="K45" s="185">
        <v>14177771</v>
      </c>
      <c r="L45" s="186">
        <v>6200400</v>
      </c>
      <c r="M45" s="186">
        <v>7977371</v>
      </c>
      <c r="N45" s="188">
        <v>12</v>
      </c>
      <c r="O45" s="189"/>
      <c r="P45" s="189"/>
      <c r="Q45" s="189"/>
      <c r="U45" s="10"/>
      <c r="V45" s="10"/>
    </row>
    <row r="46" spans="1:22" ht="16.5" customHeight="1" x14ac:dyDescent="0.2">
      <c r="B46" s="190" t="s">
        <v>175</v>
      </c>
      <c r="C46" s="185">
        <v>51494344</v>
      </c>
      <c r="D46" s="186">
        <v>9711740</v>
      </c>
      <c r="E46" s="186">
        <v>41782604</v>
      </c>
      <c r="F46" s="187">
        <v>71</v>
      </c>
      <c r="G46" s="185">
        <v>53272327</v>
      </c>
      <c r="H46" s="186">
        <v>9711740</v>
      </c>
      <c r="I46" s="186">
        <v>43560587</v>
      </c>
      <c r="J46" s="187">
        <v>71</v>
      </c>
      <c r="K46" s="185">
        <v>53272327</v>
      </c>
      <c r="L46" s="186">
        <v>9711740</v>
      </c>
      <c r="M46" s="186">
        <v>43560587</v>
      </c>
      <c r="N46" s="188">
        <v>71</v>
      </c>
      <c r="O46" s="189"/>
      <c r="P46" s="189"/>
      <c r="Q46" s="189"/>
      <c r="U46" s="10"/>
      <c r="V46" s="10"/>
    </row>
    <row r="47" spans="1:22" ht="16.5" customHeight="1" x14ac:dyDescent="0.2">
      <c r="B47" s="190" t="s">
        <v>176</v>
      </c>
      <c r="C47" s="185">
        <v>47658175</v>
      </c>
      <c r="D47" s="186">
        <v>5257782</v>
      </c>
      <c r="E47" s="186">
        <v>42400393</v>
      </c>
      <c r="F47" s="187">
        <v>85</v>
      </c>
      <c r="G47" s="185">
        <v>49462448</v>
      </c>
      <c r="H47" s="186">
        <v>5257782</v>
      </c>
      <c r="I47" s="186">
        <v>44204666</v>
      </c>
      <c r="J47" s="187">
        <v>85</v>
      </c>
      <c r="K47" s="185">
        <v>49462448</v>
      </c>
      <c r="L47" s="186">
        <v>5257782</v>
      </c>
      <c r="M47" s="186">
        <v>44204666</v>
      </c>
      <c r="N47" s="188">
        <v>85</v>
      </c>
      <c r="O47" s="189"/>
      <c r="P47" s="189"/>
      <c r="Q47" s="189"/>
      <c r="U47" s="10"/>
      <c r="V47" s="10"/>
    </row>
    <row r="48" spans="1:22" ht="16.5" customHeight="1" x14ac:dyDescent="0.2">
      <c r="A48" s="227"/>
      <c r="B48" s="190" t="s">
        <v>386</v>
      </c>
      <c r="C48" s="185">
        <v>101330142</v>
      </c>
      <c r="D48" s="186">
        <v>5644320</v>
      </c>
      <c r="E48" s="186">
        <v>95685822</v>
      </c>
      <c r="F48" s="187">
        <v>159</v>
      </c>
      <c r="G48" s="185">
        <v>105401879</v>
      </c>
      <c r="H48" s="186">
        <v>5644320</v>
      </c>
      <c r="I48" s="186">
        <v>99757559</v>
      </c>
      <c r="J48" s="187">
        <v>159</v>
      </c>
      <c r="K48" s="185">
        <v>105401879</v>
      </c>
      <c r="L48" s="186">
        <v>5644320</v>
      </c>
      <c r="M48" s="186">
        <v>99757559</v>
      </c>
      <c r="N48" s="188">
        <v>159</v>
      </c>
      <c r="O48" s="431"/>
      <c r="P48" s="431"/>
      <c r="Q48" s="431"/>
      <c r="R48" s="13"/>
      <c r="S48" s="13"/>
      <c r="T48" s="13"/>
      <c r="U48" s="13"/>
      <c r="V48" s="13"/>
    </row>
    <row r="49" spans="1:22" ht="16.5" customHeight="1" x14ac:dyDescent="0.2">
      <c r="B49" s="190" t="s">
        <v>177</v>
      </c>
      <c r="C49" s="185">
        <v>16149067</v>
      </c>
      <c r="D49" s="186">
        <v>700000</v>
      </c>
      <c r="E49" s="186">
        <v>15449067</v>
      </c>
      <c r="F49" s="187">
        <v>19</v>
      </c>
      <c r="G49" s="185">
        <v>16481249</v>
      </c>
      <c r="H49" s="186">
        <v>700000</v>
      </c>
      <c r="I49" s="186">
        <v>15781249</v>
      </c>
      <c r="J49" s="187">
        <v>19</v>
      </c>
      <c r="K49" s="185">
        <v>16481249</v>
      </c>
      <c r="L49" s="186">
        <v>700000</v>
      </c>
      <c r="M49" s="186">
        <v>15781249</v>
      </c>
      <c r="N49" s="188">
        <v>19</v>
      </c>
      <c r="O49" s="189"/>
      <c r="P49" s="189"/>
      <c r="Q49" s="189"/>
      <c r="U49" s="10"/>
      <c r="V49" s="10"/>
    </row>
    <row r="50" spans="1:22" ht="16.5" customHeight="1" x14ac:dyDescent="0.2">
      <c r="B50" s="190" t="s">
        <v>178</v>
      </c>
      <c r="C50" s="185">
        <v>42250017</v>
      </c>
      <c r="D50" s="186">
        <v>17976096</v>
      </c>
      <c r="E50" s="186">
        <v>24273921</v>
      </c>
      <c r="F50" s="187">
        <v>48</v>
      </c>
      <c r="G50" s="185">
        <v>43282949</v>
      </c>
      <c r="H50" s="186">
        <v>17976096</v>
      </c>
      <c r="I50" s="186">
        <v>25306853</v>
      </c>
      <c r="J50" s="187">
        <v>48</v>
      </c>
      <c r="K50" s="185">
        <v>43282949</v>
      </c>
      <c r="L50" s="186">
        <v>17976096</v>
      </c>
      <c r="M50" s="186">
        <v>25306853</v>
      </c>
      <c r="N50" s="188">
        <v>48</v>
      </c>
      <c r="O50" s="189"/>
      <c r="P50" s="189"/>
      <c r="Q50" s="189"/>
      <c r="U50" s="10"/>
      <c r="V50" s="10"/>
    </row>
    <row r="51" spans="1:22" ht="16.5" customHeight="1" x14ac:dyDescent="0.2">
      <c r="B51" s="190" t="s">
        <v>179</v>
      </c>
      <c r="C51" s="185">
        <v>14535050</v>
      </c>
      <c r="D51" s="186">
        <v>300000</v>
      </c>
      <c r="E51" s="186">
        <v>14235050</v>
      </c>
      <c r="F51" s="187">
        <v>23</v>
      </c>
      <c r="G51" s="185">
        <v>15140797</v>
      </c>
      <c r="H51" s="186">
        <v>300000</v>
      </c>
      <c r="I51" s="186">
        <v>14840797</v>
      </c>
      <c r="J51" s="187">
        <v>23</v>
      </c>
      <c r="K51" s="185">
        <v>15140797</v>
      </c>
      <c r="L51" s="186">
        <v>300000</v>
      </c>
      <c r="M51" s="186">
        <v>14840797</v>
      </c>
      <c r="N51" s="188">
        <v>23</v>
      </c>
      <c r="O51" s="189"/>
      <c r="P51" s="189"/>
      <c r="Q51" s="189"/>
      <c r="U51" s="10"/>
      <c r="V51" s="10"/>
    </row>
    <row r="52" spans="1:22" ht="16.5" customHeight="1" x14ac:dyDescent="0.2">
      <c r="B52" s="190" t="s">
        <v>180</v>
      </c>
      <c r="C52" s="185">
        <v>197318131</v>
      </c>
      <c r="D52" s="186">
        <v>1357529</v>
      </c>
      <c r="E52" s="186">
        <v>195960602</v>
      </c>
      <c r="F52" s="187">
        <v>425</v>
      </c>
      <c r="G52" s="185">
        <v>200389146</v>
      </c>
      <c r="H52" s="186">
        <v>1357529</v>
      </c>
      <c r="I52" s="186">
        <v>199031617</v>
      </c>
      <c r="J52" s="187">
        <v>417</v>
      </c>
      <c r="K52" s="185">
        <v>199651640</v>
      </c>
      <c r="L52" s="186">
        <v>1357529</v>
      </c>
      <c r="M52" s="186">
        <v>198294111</v>
      </c>
      <c r="N52" s="188">
        <v>415</v>
      </c>
      <c r="O52" s="189"/>
      <c r="P52" s="189"/>
      <c r="Q52" s="189"/>
      <c r="U52" s="10"/>
      <c r="V52" s="10"/>
    </row>
    <row r="53" spans="1:22" ht="16.5" customHeight="1" x14ac:dyDescent="0.2">
      <c r="B53" s="190" t="s">
        <v>181</v>
      </c>
      <c r="C53" s="185">
        <v>145023912</v>
      </c>
      <c r="D53" s="186">
        <v>1000700</v>
      </c>
      <c r="E53" s="186">
        <v>144023212</v>
      </c>
      <c r="F53" s="187">
        <v>218</v>
      </c>
      <c r="G53" s="185">
        <v>151152559</v>
      </c>
      <c r="H53" s="186">
        <v>1000700</v>
      </c>
      <c r="I53" s="186">
        <v>150151859</v>
      </c>
      <c r="J53" s="187">
        <v>218</v>
      </c>
      <c r="K53" s="185">
        <v>151152559</v>
      </c>
      <c r="L53" s="186">
        <v>1000700</v>
      </c>
      <c r="M53" s="186">
        <v>150151859</v>
      </c>
      <c r="N53" s="188">
        <v>218</v>
      </c>
      <c r="O53" s="189"/>
      <c r="P53" s="189"/>
      <c r="Q53" s="189"/>
      <c r="U53" s="10"/>
      <c r="V53" s="10"/>
    </row>
    <row r="54" spans="1:22" ht="16.5" customHeight="1" x14ac:dyDescent="0.2">
      <c r="B54" s="190" t="s">
        <v>182</v>
      </c>
      <c r="C54" s="185">
        <v>258486348</v>
      </c>
      <c r="D54" s="186">
        <v>2079040</v>
      </c>
      <c r="E54" s="186">
        <v>256407308</v>
      </c>
      <c r="F54" s="187">
        <v>333</v>
      </c>
      <c r="G54" s="185">
        <v>269397297</v>
      </c>
      <c r="H54" s="186">
        <v>2079040</v>
      </c>
      <c r="I54" s="186">
        <v>267318257</v>
      </c>
      <c r="J54" s="187">
        <v>333</v>
      </c>
      <c r="K54" s="185">
        <v>269397297</v>
      </c>
      <c r="L54" s="186">
        <v>2079040</v>
      </c>
      <c r="M54" s="186">
        <v>267318257</v>
      </c>
      <c r="N54" s="188">
        <v>333</v>
      </c>
      <c r="O54" s="189"/>
      <c r="P54" s="189"/>
      <c r="Q54" s="189"/>
      <c r="U54" s="10"/>
      <c r="V54" s="10"/>
    </row>
    <row r="55" spans="1:22" ht="16.5" customHeight="1" x14ac:dyDescent="0.2">
      <c r="B55" s="190" t="s">
        <v>183</v>
      </c>
      <c r="C55" s="185">
        <v>82868510</v>
      </c>
      <c r="D55" s="186">
        <v>6023835</v>
      </c>
      <c r="E55" s="186">
        <v>76844675</v>
      </c>
      <c r="F55" s="187">
        <v>132</v>
      </c>
      <c r="G55" s="185">
        <v>86138496</v>
      </c>
      <c r="H55" s="186">
        <v>6023835</v>
      </c>
      <c r="I55" s="186">
        <v>80114661</v>
      </c>
      <c r="J55" s="187">
        <v>132</v>
      </c>
      <c r="K55" s="185">
        <v>86138496</v>
      </c>
      <c r="L55" s="186">
        <v>6023835</v>
      </c>
      <c r="M55" s="186">
        <v>80114661</v>
      </c>
      <c r="N55" s="188">
        <v>132</v>
      </c>
      <c r="O55" s="189"/>
      <c r="P55" s="189"/>
      <c r="Q55" s="189"/>
      <c r="U55" s="10"/>
      <c r="V55" s="10"/>
    </row>
    <row r="56" spans="1:22" ht="16.5" customHeight="1" x14ac:dyDescent="0.2">
      <c r="B56" s="191" t="s">
        <v>184</v>
      </c>
      <c r="C56" s="185">
        <v>229726564</v>
      </c>
      <c r="D56" s="186">
        <v>803648</v>
      </c>
      <c r="E56" s="186">
        <v>228922916</v>
      </c>
      <c r="F56" s="187">
        <v>373</v>
      </c>
      <c r="G56" s="185">
        <v>246879933</v>
      </c>
      <c r="H56" s="186">
        <v>803648</v>
      </c>
      <c r="I56" s="186">
        <v>246076285</v>
      </c>
      <c r="J56" s="187">
        <v>385</v>
      </c>
      <c r="K56" s="185">
        <v>246879933</v>
      </c>
      <c r="L56" s="186">
        <v>803648</v>
      </c>
      <c r="M56" s="186">
        <v>246076285</v>
      </c>
      <c r="N56" s="188">
        <v>385</v>
      </c>
      <c r="O56" s="189"/>
      <c r="P56" s="189"/>
      <c r="Q56" s="189"/>
      <c r="U56" s="10"/>
      <c r="V56" s="10"/>
    </row>
    <row r="57" spans="1:22" ht="16.5" customHeight="1" thickBot="1" x14ac:dyDescent="0.25">
      <c r="B57" s="192" t="s">
        <v>185</v>
      </c>
      <c r="C57" s="185">
        <v>353245815</v>
      </c>
      <c r="D57" s="186">
        <v>32987594</v>
      </c>
      <c r="E57" s="186">
        <v>320258221</v>
      </c>
      <c r="F57" s="187">
        <v>495</v>
      </c>
      <c r="G57" s="185">
        <v>366873824</v>
      </c>
      <c r="H57" s="186">
        <v>32987594</v>
      </c>
      <c r="I57" s="186">
        <v>333886230</v>
      </c>
      <c r="J57" s="187">
        <v>495</v>
      </c>
      <c r="K57" s="185">
        <v>366873824</v>
      </c>
      <c r="L57" s="186">
        <v>32987594</v>
      </c>
      <c r="M57" s="186">
        <v>333886230</v>
      </c>
      <c r="N57" s="188">
        <v>495</v>
      </c>
      <c r="O57" s="189"/>
      <c r="P57" s="189"/>
      <c r="Q57" s="189"/>
      <c r="U57" s="10"/>
      <c r="V57" s="10"/>
    </row>
    <row r="58" spans="1:22" ht="24" customHeight="1" thickBot="1" x14ac:dyDescent="0.25">
      <c r="B58" s="193" t="s">
        <v>387</v>
      </c>
      <c r="C58" s="194">
        <v>247227348185</v>
      </c>
      <c r="D58" s="195">
        <v>10199736457</v>
      </c>
      <c r="E58" s="195">
        <v>237027611728</v>
      </c>
      <c r="F58" s="196">
        <v>493655.88</v>
      </c>
      <c r="G58" s="194">
        <v>257804371054</v>
      </c>
      <c r="H58" s="195">
        <v>10197322865</v>
      </c>
      <c r="I58" s="195">
        <v>247607048189</v>
      </c>
      <c r="J58" s="196">
        <v>494853.63</v>
      </c>
      <c r="K58" s="194">
        <v>257794483445</v>
      </c>
      <c r="L58" s="195">
        <v>10193822865</v>
      </c>
      <c r="M58" s="195">
        <v>247600660580</v>
      </c>
      <c r="N58" s="197">
        <v>494841.88</v>
      </c>
      <c r="O58" s="189"/>
      <c r="P58" s="189"/>
      <c r="Q58" s="189"/>
      <c r="U58" s="10"/>
      <c r="V58" s="10"/>
    </row>
    <row r="59" spans="1:22" s="10" customFormat="1" ht="15.75" customHeight="1" x14ac:dyDescent="0.2">
      <c r="A59" s="66"/>
    </row>
    <row r="60" spans="1:22" s="10" customFormat="1" x14ac:dyDescent="0.2">
      <c r="A60" s="66"/>
    </row>
    <row r="61" spans="1:22" s="10" customFormat="1" x14ac:dyDescent="0.2">
      <c r="A61" s="66"/>
    </row>
    <row r="62" spans="1:22" s="10" customFormat="1" x14ac:dyDescent="0.2">
      <c r="A62" s="66"/>
    </row>
    <row r="63" spans="1:22" s="10" customFormat="1" x14ac:dyDescent="0.2">
      <c r="A63" s="66"/>
    </row>
    <row r="64" spans="1:22" s="10" customFormat="1" x14ac:dyDescent="0.2">
      <c r="A64" s="66"/>
    </row>
    <row r="65" spans="1:1" s="10" customFormat="1" x14ac:dyDescent="0.2">
      <c r="A65" s="66"/>
    </row>
    <row r="66" spans="1:1" s="10" customFormat="1" x14ac:dyDescent="0.2">
      <c r="A66" s="66"/>
    </row>
    <row r="67" spans="1:1" s="10" customFormat="1" x14ac:dyDescent="0.2">
      <c r="A67" s="66"/>
    </row>
    <row r="68" spans="1:1" s="10" customFormat="1" x14ac:dyDescent="0.2">
      <c r="A68" s="66"/>
    </row>
    <row r="69" spans="1:1" s="10" customFormat="1" x14ac:dyDescent="0.2">
      <c r="A69" s="66"/>
    </row>
    <row r="70" spans="1:1" s="10" customFormat="1" x14ac:dyDescent="0.2">
      <c r="A70" s="66"/>
    </row>
    <row r="71" spans="1:1" s="10" customFormat="1" x14ac:dyDescent="0.2">
      <c r="A71" s="66"/>
    </row>
    <row r="72" spans="1:1" s="10" customFormat="1" x14ac:dyDescent="0.2">
      <c r="A72" s="66"/>
    </row>
    <row r="73" spans="1:1" s="10" customFormat="1" x14ac:dyDescent="0.2">
      <c r="A73" s="66"/>
    </row>
    <row r="74" spans="1:1" s="10" customFormat="1" x14ac:dyDescent="0.2">
      <c r="A74" s="66"/>
    </row>
    <row r="75" spans="1:1" s="10" customFormat="1" x14ac:dyDescent="0.2">
      <c r="A75" s="66"/>
    </row>
    <row r="76" spans="1:1" s="10" customFormat="1" x14ac:dyDescent="0.2">
      <c r="A76" s="66"/>
    </row>
    <row r="77" spans="1:1" s="10" customFormat="1" x14ac:dyDescent="0.2">
      <c r="A77" s="66"/>
    </row>
    <row r="78" spans="1:1" s="10" customFormat="1" x14ac:dyDescent="0.2">
      <c r="A78" s="66"/>
    </row>
    <row r="79" spans="1:1" s="10" customFormat="1" x14ac:dyDescent="0.2">
      <c r="A79" s="66"/>
    </row>
    <row r="80" spans="1:1" s="10" customFormat="1" x14ac:dyDescent="0.2">
      <c r="A80" s="66"/>
    </row>
    <row r="81" spans="1:1" s="10" customFormat="1" x14ac:dyDescent="0.2">
      <c r="A81" s="66"/>
    </row>
    <row r="82" spans="1:1" s="10" customFormat="1" x14ac:dyDescent="0.2">
      <c r="A82" s="66"/>
    </row>
    <row r="83" spans="1:1" s="10" customFormat="1" x14ac:dyDescent="0.2">
      <c r="A83" s="66"/>
    </row>
    <row r="84" spans="1:1" s="10" customFormat="1" x14ac:dyDescent="0.2">
      <c r="A84" s="66"/>
    </row>
    <row r="85" spans="1:1" s="10" customFormat="1" x14ac:dyDescent="0.2">
      <c r="A85" s="66"/>
    </row>
    <row r="86" spans="1:1" s="10" customFormat="1" x14ac:dyDescent="0.2">
      <c r="A86" s="66"/>
    </row>
    <row r="87" spans="1:1" s="10" customFormat="1" x14ac:dyDescent="0.2">
      <c r="A87" s="66"/>
    </row>
    <row r="88" spans="1:1" s="10" customFormat="1" x14ac:dyDescent="0.2">
      <c r="A88" s="66"/>
    </row>
    <row r="89" spans="1:1" s="10" customFormat="1" x14ac:dyDescent="0.2">
      <c r="A89" s="66"/>
    </row>
    <row r="90" spans="1:1" s="10" customFormat="1" x14ac:dyDescent="0.2">
      <c r="A90" s="66"/>
    </row>
    <row r="91" spans="1:1" s="10" customFormat="1" x14ac:dyDescent="0.2">
      <c r="A91" s="66"/>
    </row>
    <row r="92" spans="1:1" s="10" customFormat="1" x14ac:dyDescent="0.2">
      <c r="A92" s="66"/>
    </row>
    <row r="93" spans="1:1" s="10" customFormat="1" x14ac:dyDescent="0.2">
      <c r="A93" s="66"/>
    </row>
    <row r="94" spans="1:1" s="10" customFormat="1" x14ac:dyDescent="0.2">
      <c r="A94" s="66"/>
    </row>
    <row r="95" spans="1:1" s="10" customFormat="1" x14ac:dyDescent="0.2">
      <c r="A95" s="66"/>
    </row>
    <row r="96" spans="1:1" s="10" customFormat="1" x14ac:dyDescent="0.2">
      <c r="A96" s="66"/>
    </row>
    <row r="97" spans="1:1" s="10" customFormat="1" x14ac:dyDescent="0.2">
      <c r="A97" s="66"/>
    </row>
    <row r="98" spans="1:1" s="10" customFormat="1" x14ac:dyDescent="0.2">
      <c r="A98" s="66"/>
    </row>
    <row r="99" spans="1:1" s="10" customFormat="1" x14ac:dyDescent="0.2">
      <c r="A99" s="66"/>
    </row>
    <row r="100" spans="1:1" s="10" customFormat="1" x14ac:dyDescent="0.2">
      <c r="A100" s="66"/>
    </row>
    <row r="101" spans="1:1" s="10" customFormat="1" x14ac:dyDescent="0.2">
      <c r="A101" s="66"/>
    </row>
    <row r="102" spans="1:1" s="10" customFormat="1" x14ac:dyDescent="0.2">
      <c r="A102" s="66"/>
    </row>
    <row r="103" spans="1:1" s="10" customFormat="1" x14ac:dyDescent="0.2">
      <c r="A103" s="66"/>
    </row>
    <row r="104" spans="1:1" s="10" customFormat="1" x14ac:dyDescent="0.2">
      <c r="A104" s="66"/>
    </row>
    <row r="105" spans="1:1" s="10" customFormat="1" x14ac:dyDescent="0.2">
      <c r="A105" s="66"/>
    </row>
    <row r="106" spans="1:1" s="10" customFormat="1" x14ac:dyDescent="0.2">
      <c r="A106" s="66"/>
    </row>
    <row r="107" spans="1:1" s="10" customFormat="1" x14ac:dyDescent="0.2">
      <c r="A107" s="66"/>
    </row>
    <row r="108" spans="1:1" s="10" customFormat="1" x14ac:dyDescent="0.2">
      <c r="A108" s="66"/>
    </row>
    <row r="109" spans="1:1" s="10" customFormat="1" x14ac:dyDescent="0.2">
      <c r="A109" s="66"/>
    </row>
    <row r="110" spans="1:1" s="10" customFormat="1" x14ac:dyDescent="0.2">
      <c r="A110" s="66"/>
    </row>
    <row r="111" spans="1:1" s="10" customFormat="1" x14ac:dyDescent="0.2">
      <c r="A111" s="66"/>
    </row>
    <row r="112" spans="1:1" s="10" customFormat="1" x14ac:dyDescent="0.2">
      <c r="A112" s="66"/>
    </row>
    <row r="113" spans="1:1" s="10" customFormat="1" x14ac:dyDescent="0.2">
      <c r="A113" s="66"/>
    </row>
    <row r="114" spans="1:1" s="10" customFormat="1" x14ac:dyDescent="0.2">
      <c r="A114" s="66"/>
    </row>
    <row r="115" spans="1:1" s="10" customFormat="1" x14ac:dyDescent="0.2">
      <c r="A115" s="66"/>
    </row>
    <row r="116" spans="1:1" s="10" customFormat="1" x14ac:dyDescent="0.2">
      <c r="A116" s="66"/>
    </row>
    <row r="117" spans="1:1" s="10" customFormat="1" x14ac:dyDescent="0.2">
      <c r="A117" s="66"/>
    </row>
    <row r="118" spans="1:1" s="10" customFormat="1" x14ac:dyDescent="0.2">
      <c r="A118" s="66"/>
    </row>
    <row r="119" spans="1:1" s="10" customFormat="1" x14ac:dyDescent="0.2">
      <c r="A119" s="66"/>
    </row>
  </sheetData>
  <mergeCells count="4">
    <mergeCell ref="C5:F7"/>
    <mergeCell ref="G5:J7"/>
    <mergeCell ref="K5:N7"/>
    <mergeCell ref="B3:N3"/>
  </mergeCells>
  <printOptions horizontalCentered="1" verticalCentered="1"/>
  <pageMargins left="0.31496062992125984" right="0.23622047244094491" top="0.15748031496062992" bottom="0.35433070866141736" header="0.19685039370078741" footer="0.15748031496062992"/>
  <pageSetup paperSize="9" scale="59" pageOrder="overThenDown" orientation="landscape" r:id="rId1"/>
  <headerFooter alignWithMargins="0"/>
  <rowBreaks count="1" manualBreakCount="1">
    <brk id="58" min="1" max="5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9"/>
  <sheetViews>
    <sheetView zoomScale="85" zoomScaleNormal="85" workbookViewId="0">
      <pane xSplit="3" ySplit="7" topLeftCell="D17" activePane="bottomRight" state="frozen"/>
      <selection activeCell="A37" sqref="A37:XFD42"/>
      <selection pane="topRight" activeCell="A37" sqref="A37:XFD42"/>
      <selection pane="bottomLeft" activeCell="A37" sqref="A37:XFD42"/>
      <selection pane="bottomRight"/>
    </sheetView>
  </sheetViews>
  <sheetFormatPr defaultColWidth="9.33203125" defaultRowHeight="12.75" x14ac:dyDescent="0.2"/>
  <cols>
    <col min="1" max="1" width="3.33203125" style="66" customWidth="1"/>
    <col min="2" max="2" width="10.5" style="66" bestFit="1" customWidth="1"/>
    <col min="3" max="3" width="42.6640625" style="66" customWidth="1"/>
    <col min="4" max="6" width="18.5" style="66" customWidth="1"/>
    <col min="7" max="7" width="18.5" style="227" customWidth="1"/>
    <col min="8" max="11" width="15.83203125" style="227" customWidth="1"/>
    <col min="12" max="12" width="11.83203125" style="227" customWidth="1"/>
    <col min="13" max="13" width="15.33203125" style="227" customWidth="1"/>
    <col min="14" max="14" width="16.5" style="227" customWidth="1"/>
    <col min="15" max="16384" width="9.33203125" style="66"/>
  </cols>
  <sheetData>
    <row r="1" spans="2:14" x14ac:dyDescent="0.2">
      <c r="C1" s="13"/>
      <c r="D1" s="13"/>
      <c r="E1" s="13"/>
      <c r="F1" s="13"/>
      <c r="G1" s="13"/>
      <c r="J1" s="231"/>
      <c r="K1" s="231" t="s">
        <v>123</v>
      </c>
    </row>
    <row r="2" spans="2:14" x14ac:dyDescent="0.2"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14" ht="15.75" x14ac:dyDescent="0.25">
      <c r="B3" s="468" t="s">
        <v>345</v>
      </c>
      <c r="C3" s="468"/>
      <c r="D3" s="468"/>
      <c r="E3" s="468"/>
      <c r="F3" s="468"/>
      <c r="G3" s="468"/>
      <c r="H3" s="468"/>
      <c r="I3" s="468"/>
      <c r="J3" s="468"/>
      <c r="K3" s="468"/>
      <c r="L3" s="118"/>
    </row>
    <row r="4" spans="2:14" x14ac:dyDescent="0.2">
      <c r="B4" s="469" t="s">
        <v>124</v>
      </c>
      <c r="C4" s="469"/>
      <c r="D4" s="469"/>
      <c r="E4" s="469"/>
      <c r="F4" s="469"/>
      <c r="G4" s="469"/>
      <c r="H4" s="469"/>
      <c r="I4" s="469"/>
      <c r="J4" s="469"/>
      <c r="K4" s="469"/>
      <c r="L4" s="425"/>
    </row>
    <row r="5" spans="2:14" x14ac:dyDescent="0.2">
      <c r="C5" s="454"/>
      <c r="D5" s="454"/>
      <c r="E5" s="454"/>
      <c r="F5" s="454"/>
      <c r="G5" s="250"/>
      <c r="H5" s="250"/>
      <c r="I5" s="397"/>
      <c r="J5" s="397"/>
      <c r="K5" s="397"/>
      <c r="L5" s="397"/>
    </row>
    <row r="6" spans="2:14" ht="13.5" thickBot="1" x14ac:dyDescent="0.25">
      <c r="J6" s="231"/>
      <c r="K6" s="231" t="s">
        <v>2</v>
      </c>
    </row>
    <row r="7" spans="2:14" ht="46.5" customHeight="1" thickBot="1" x14ac:dyDescent="0.25">
      <c r="B7" s="120" t="s">
        <v>3</v>
      </c>
      <c r="C7" s="121"/>
      <c r="D7" s="122" t="s">
        <v>5</v>
      </c>
      <c r="E7" s="123" t="s">
        <v>263</v>
      </c>
      <c r="F7" s="123" t="s">
        <v>260</v>
      </c>
      <c r="G7" s="206" t="s">
        <v>330</v>
      </c>
      <c r="H7" s="81">
        <v>2023</v>
      </c>
      <c r="I7" s="81">
        <v>2024</v>
      </c>
      <c r="J7" s="81">
        <v>2025</v>
      </c>
      <c r="K7" s="419">
        <v>2026</v>
      </c>
      <c r="L7" s="398" t="s">
        <v>114</v>
      </c>
      <c r="M7" s="398" t="s">
        <v>261</v>
      </c>
      <c r="N7" s="261" t="s">
        <v>335</v>
      </c>
    </row>
    <row r="8" spans="2:14" x14ac:dyDescent="0.2">
      <c r="B8" s="124">
        <v>301</v>
      </c>
      <c r="C8" s="125" t="s">
        <v>6</v>
      </c>
      <c r="D8" s="126">
        <v>0</v>
      </c>
      <c r="E8" s="126">
        <v>0</v>
      </c>
      <c r="F8" s="126">
        <v>0</v>
      </c>
      <c r="G8" s="126">
        <v>0</v>
      </c>
      <c r="H8" s="126">
        <v>0</v>
      </c>
      <c r="I8" s="126">
        <v>0</v>
      </c>
      <c r="J8" s="126">
        <v>0</v>
      </c>
      <c r="K8" s="399">
        <v>0</v>
      </c>
      <c r="L8" s="291"/>
      <c r="M8" s="126">
        <f>+I8-H8</f>
        <v>0</v>
      </c>
      <c r="N8" s="400">
        <f>+I8-G8</f>
        <v>0</v>
      </c>
    </row>
    <row r="9" spans="2:14" x14ac:dyDescent="0.2">
      <c r="B9" s="127">
        <v>302</v>
      </c>
      <c r="C9" s="128" t="s">
        <v>7</v>
      </c>
      <c r="D9" s="126">
        <v>0</v>
      </c>
      <c r="E9" s="126">
        <v>0</v>
      </c>
      <c r="F9" s="126">
        <v>0</v>
      </c>
      <c r="G9" s="126">
        <v>0</v>
      </c>
      <c r="H9" s="126">
        <v>0</v>
      </c>
      <c r="I9" s="126">
        <v>0</v>
      </c>
      <c r="J9" s="126">
        <v>0</v>
      </c>
      <c r="K9" s="399">
        <v>0</v>
      </c>
      <c r="L9" s="291"/>
      <c r="M9" s="126">
        <f t="shared" ref="M9:M58" si="0">+I9-H9</f>
        <v>0</v>
      </c>
      <c r="N9" s="400">
        <f t="shared" ref="N9:N58" si="1">+I9-G9</f>
        <v>0</v>
      </c>
    </row>
    <row r="10" spans="2:14" x14ac:dyDescent="0.2">
      <c r="B10" s="127">
        <v>303</v>
      </c>
      <c r="C10" s="128" t="s">
        <v>8</v>
      </c>
      <c r="D10" s="126">
        <v>0</v>
      </c>
      <c r="E10" s="126">
        <v>0</v>
      </c>
      <c r="F10" s="126">
        <v>0</v>
      </c>
      <c r="G10" s="126">
        <v>0</v>
      </c>
      <c r="H10" s="126">
        <v>0</v>
      </c>
      <c r="I10" s="126">
        <v>0</v>
      </c>
      <c r="J10" s="126">
        <v>0</v>
      </c>
      <c r="K10" s="399">
        <v>0</v>
      </c>
      <c r="L10" s="291"/>
      <c r="M10" s="126">
        <f t="shared" si="0"/>
        <v>0</v>
      </c>
      <c r="N10" s="400">
        <f t="shared" si="1"/>
        <v>0</v>
      </c>
    </row>
    <row r="11" spans="2:14" x14ac:dyDescent="0.2">
      <c r="B11" s="127">
        <v>304</v>
      </c>
      <c r="C11" s="128" t="s">
        <v>9</v>
      </c>
      <c r="D11" s="126">
        <v>67999392.890000001</v>
      </c>
      <c r="E11" s="126">
        <v>60137426.159999996</v>
      </c>
      <c r="F11" s="126">
        <v>59499837.160000004</v>
      </c>
      <c r="G11" s="126">
        <v>66682063.470000006</v>
      </c>
      <c r="H11" s="126">
        <v>70112910</v>
      </c>
      <c r="I11" s="126">
        <v>66473261</v>
      </c>
      <c r="J11" s="126">
        <v>73884266</v>
      </c>
      <c r="K11" s="399">
        <v>73884266</v>
      </c>
      <c r="L11" s="291">
        <f t="shared" ref="L11:L58" si="2">+I11/H11*100</f>
        <v>94.808874713658298</v>
      </c>
      <c r="M11" s="126">
        <f t="shared" si="0"/>
        <v>-3639649</v>
      </c>
      <c r="N11" s="400">
        <f t="shared" si="1"/>
        <v>-208802.47000000626</v>
      </c>
    </row>
    <row r="12" spans="2:14" x14ac:dyDescent="0.2">
      <c r="B12" s="127">
        <v>305</v>
      </c>
      <c r="C12" s="128" t="s">
        <v>10</v>
      </c>
      <c r="D12" s="126"/>
      <c r="E12" s="126"/>
      <c r="F12" s="126"/>
      <c r="G12" s="126">
        <v>0</v>
      </c>
      <c r="H12" s="126">
        <v>0</v>
      </c>
      <c r="I12" s="126">
        <v>0</v>
      </c>
      <c r="J12" s="126">
        <v>0</v>
      </c>
      <c r="K12" s="399">
        <v>0</v>
      </c>
      <c r="L12" s="291"/>
      <c r="M12" s="126">
        <f t="shared" si="0"/>
        <v>0</v>
      </c>
      <c r="N12" s="400">
        <f t="shared" si="1"/>
        <v>0</v>
      </c>
    </row>
    <row r="13" spans="2:14" x14ac:dyDescent="0.2">
      <c r="B13" s="127">
        <v>306</v>
      </c>
      <c r="C13" s="128" t="s">
        <v>11</v>
      </c>
      <c r="D13" s="126">
        <v>25336000</v>
      </c>
      <c r="E13" s="126">
        <v>27870000</v>
      </c>
      <c r="F13" s="126">
        <v>31484000</v>
      </c>
      <c r="G13" s="126">
        <v>34632400</v>
      </c>
      <c r="H13" s="126">
        <v>34632400</v>
      </c>
      <c r="I13" s="126">
        <v>31169160</v>
      </c>
      <c r="J13" s="126">
        <v>34632400</v>
      </c>
      <c r="K13" s="399">
        <v>34632400</v>
      </c>
      <c r="L13" s="291">
        <f t="shared" si="2"/>
        <v>90</v>
      </c>
      <c r="M13" s="126">
        <f t="shared" si="0"/>
        <v>-3463240</v>
      </c>
      <c r="N13" s="400">
        <f t="shared" si="1"/>
        <v>-3463240</v>
      </c>
    </row>
    <row r="14" spans="2:14" x14ac:dyDescent="0.2">
      <c r="B14" s="127">
        <v>307</v>
      </c>
      <c r="C14" s="128" t="s">
        <v>12</v>
      </c>
      <c r="D14" s="126">
        <v>482745971.68000001</v>
      </c>
      <c r="E14" s="126">
        <v>554148647.50999999</v>
      </c>
      <c r="F14" s="126">
        <v>230691180.80999988</v>
      </c>
      <c r="G14" s="126">
        <v>306769517.66999996</v>
      </c>
      <c r="H14" s="126">
        <v>443632984</v>
      </c>
      <c r="I14" s="126">
        <v>439417461</v>
      </c>
      <c r="J14" s="126">
        <v>439417461</v>
      </c>
      <c r="K14" s="399">
        <v>439417461</v>
      </c>
      <c r="L14" s="291">
        <f t="shared" si="2"/>
        <v>99.049772412774431</v>
      </c>
      <c r="M14" s="126">
        <f t="shared" si="0"/>
        <v>-4215523</v>
      </c>
      <c r="N14" s="400">
        <f t="shared" si="1"/>
        <v>132647943.33000004</v>
      </c>
    </row>
    <row r="15" spans="2:14" x14ac:dyDescent="0.2">
      <c r="B15" s="127">
        <v>308</v>
      </c>
      <c r="C15" s="128" t="s">
        <v>13</v>
      </c>
      <c r="D15" s="126">
        <v>0</v>
      </c>
      <c r="E15" s="126">
        <v>0</v>
      </c>
      <c r="F15" s="126">
        <v>0</v>
      </c>
      <c r="G15" s="126">
        <v>0</v>
      </c>
      <c r="H15" s="126">
        <v>0</v>
      </c>
      <c r="I15" s="126">
        <v>0</v>
      </c>
      <c r="J15" s="126">
        <v>0</v>
      </c>
      <c r="K15" s="399">
        <v>0</v>
      </c>
      <c r="L15" s="291"/>
      <c r="M15" s="126">
        <f t="shared" si="0"/>
        <v>0</v>
      </c>
      <c r="N15" s="400">
        <f t="shared" si="1"/>
        <v>0</v>
      </c>
    </row>
    <row r="16" spans="2:14" x14ac:dyDescent="0.2">
      <c r="B16" s="127">
        <v>309</v>
      </c>
      <c r="C16" s="128" t="s">
        <v>14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399">
        <v>0</v>
      </c>
      <c r="L16" s="291"/>
      <c r="M16" s="126">
        <f t="shared" si="0"/>
        <v>0</v>
      </c>
      <c r="N16" s="400">
        <f t="shared" si="1"/>
        <v>0</v>
      </c>
    </row>
    <row r="17" spans="2:14" x14ac:dyDescent="0.2">
      <c r="B17" s="127">
        <v>312</v>
      </c>
      <c r="C17" s="128" t="s">
        <v>15</v>
      </c>
      <c r="D17" s="126">
        <v>0</v>
      </c>
      <c r="E17" s="126">
        <v>0</v>
      </c>
      <c r="F17" s="126">
        <v>0</v>
      </c>
      <c r="G17" s="126">
        <v>0</v>
      </c>
      <c r="H17" s="126">
        <v>0</v>
      </c>
      <c r="I17" s="126">
        <v>0</v>
      </c>
      <c r="J17" s="126">
        <v>0</v>
      </c>
      <c r="K17" s="399">
        <v>0</v>
      </c>
      <c r="L17" s="291"/>
      <c r="M17" s="126">
        <f t="shared" si="0"/>
        <v>0</v>
      </c>
      <c r="N17" s="400">
        <f t="shared" si="1"/>
        <v>0</v>
      </c>
    </row>
    <row r="18" spans="2:14" x14ac:dyDescent="0.2">
      <c r="B18" s="127">
        <v>313</v>
      </c>
      <c r="C18" s="128" t="s">
        <v>16</v>
      </c>
      <c r="D18" s="129">
        <v>78683914</v>
      </c>
      <c r="E18" s="129">
        <v>89187674.400000006</v>
      </c>
      <c r="F18" s="129">
        <v>85657672.760000005</v>
      </c>
      <c r="G18" s="126">
        <v>94489096.120000005</v>
      </c>
      <c r="H18" s="126">
        <v>85000000</v>
      </c>
      <c r="I18" s="126">
        <v>85462500</v>
      </c>
      <c r="J18" s="126">
        <v>94962500</v>
      </c>
      <c r="K18" s="399">
        <v>94962500</v>
      </c>
      <c r="L18" s="291">
        <f t="shared" si="2"/>
        <v>100.54411764705881</v>
      </c>
      <c r="M18" s="126">
        <f t="shared" si="0"/>
        <v>462500</v>
      </c>
      <c r="N18" s="400">
        <f t="shared" si="1"/>
        <v>-9026596.1200000048</v>
      </c>
    </row>
    <row r="19" spans="2:14" x14ac:dyDescent="0.2">
      <c r="B19" s="127">
        <v>314</v>
      </c>
      <c r="C19" s="128" t="s">
        <v>17</v>
      </c>
      <c r="D19" s="129">
        <v>759832283.16999996</v>
      </c>
      <c r="E19" s="129">
        <v>663055218.42999995</v>
      </c>
      <c r="F19" s="129">
        <v>761445881.25999963</v>
      </c>
      <c r="G19" s="126">
        <v>724729064.83999979</v>
      </c>
      <c r="H19" s="126">
        <v>852501120</v>
      </c>
      <c r="I19" s="126">
        <v>743863217</v>
      </c>
      <c r="J19" s="126">
        <v>829113329</v>
      </c>
      <c r="K19" s="399">
        <v>829113329</v>
      </c>
      <c r="L19" s="291">
        <f t="shared" si="2"/>
        <v>87.256567709846536</v>
      </c>
      <c r="M19" s="126">
        <f t="shared" si="0"/>
        <v>-108637903</v>
      </c>
      <c r="N19" s="400">
        <f t="shared" si="1"/>
        <v>19134152.160000205</v>
      </c>
    </row>
    <row r="20" spans="2:14" x14ac:dyDescent="0.2">
      <c r="B20" s="127">
        <v>315</v>
      </c>
      <c r="C20" s="128" t="s">
        <v>18</v>
      </c>
      <c r="D20" s="129">
        <v>257579467.19</v>
      </c>
      <c r="E20" s="129">
        <v>268634931.81</v>
      </c>
      <c r="F20" s="129">
        <v>287474693.59000003</v>
      </c>
      <c r="G20" s="126">
        <v>301529080.19999999</v>
      </c>
      <c r="H20" s="126">
        <v>296154363</v>
      </c>
      <c r="I20" s="126">
        <v>251751859</v>
      </c>
      <c r="J20" s="126">
        <v>281367295</v>
      </c>
      <c r="K20" s="399">
        <v>281367295</v>
      </c>
      <c r="L20" s="291">
        <f t="shared" si="2"/>
        <v>85.006972867051772</v>
      </c>
      <c r="M20" s="126">
        <f t="shared" si="0"/>
        <v>-44402504</v>
      </c>
      <c r="N20" s="400">
        <f t="shared" si="1"/>
        <v>-49777221.199999988</v>
      </c>
    </row>
    <row r="21" spans="2:14" x14ac:dyDescent="0.2">
      <c r="B21" s="127">
        <v>317</v>
      </c>
      <c r="C21" s="128" t="s">
        <v>19</v>
      </c>
      <c r="D21" s="129">
        <v>0</v>
      </c>
      <c r="E21" s="129">
        <v>0</v>
      </c>
      <c r="F21" s="129">
        <v>0</v>
      </c>
      <c r="G21" s="126"/>
      <c r="H21" s="126"/>
      <c r="I21" s="126">
        <v>0</v>
      </c>
      <c r="J21" s="126">
        <v>0</v>
      </c>
      <c r="K21" s="399">
        <v>0</v>
      </c>
      <c r="L21" s="291"/>
      <c r="M21" s="126">
        <f t="shared" si="0"/>
        <v>0</v>
      </c>
      <c r="N21" s="400">
        <f t="shared" si="1"/>
        <v>0</v>
      </c>
    </row>
    <row r="22" spans="2:14" x14ac:dyDescent="0.2">
      <c r="B22" s="127">
        <v>321</v>
      </c>
      <c r="C22" s="128" t="s">
        <v>20</v>
      </c>
      <c r="D22" s="129">
        <v>4343275649.75</v>
      </c>
      <c r="E22" s="129">
        <v>4486949780.8500004</v>
      </c>
      <c r="F22" s="129">
        <v>4530292878.5799971</v>
      </c>
      <c r="G22" s="126">
        <v>4461512911.7199984</v>
      </c>
      <c r="H22" s="126">
        <v>4657413025</v>
      </c>
      <c r="I22" s="126">
        <v>4199357605</v>
      </c>
      <c r="J22" s="126">
        <v>4668418432</v>
      </c>
      <c r="K22" s="399">
        <v>4668418432</v>
      </c>
      <c r="L22" s="291">
        <f t="shared" si="2"/>
        <v>90.165024713478147</v>
      </c>
      <c r="M22" s="126">
        <f t="shared" si="0"/>
        <v>-458055420</v>
      </c>
      <c r="N22" s="400">
        <f t="shared" si="1"/>
        <v>-262155306.71999836</v>
      </c>
    </row>
    <row r="23" spans="2:14" x14ac:dyDescent="0.2">
      <c r="B23" s="127">
        <v>322</v>
      </c>
      <c r="C23" s="128" t="s">
        <v>21</v>
      </c>
      <c r="D23" s="129">
        <v>2550886447.4299998</v>
      </c>
      <c r="E23" s="129">
        <v>1751348736.72</v>
      </c>
      <c r="F23" s="129">
        <v>1620598900.1900001</v>
      </c>
      <c r="G23" s="126">
        <v>1674974960.1900001</v>
      </c>
      <c r="H23" s="126">
        <v>1288946334</v>
      </c>
      <c r="I23" s="126">
        <v>1304001701</v>
      </c>
      <c r="J23" s="126">
        <v>1448896334</v>
      </c>
      <c r="K23" s="399">
        <v>1448896334</v>
      </c>
      <c r="L23" s="291">
        <f t="shared" si="2"/>
        <v>101.16803676017128</v>
      </c>
      <c r="M23" s="126">
        <f t="shared" si="0"/>
        <v>15055367</v>
      </c>
      <c r="N23" s="400">
        <f t="shared" si="1"/>
        <v>-370973259.19000006</v>
      </c>
    </row>
    <row r="24" spans="2:14" x14ac:dyDescent="0.2">
      <c r="B24" s="127">
        <v>327</v>
      </c>
      <c r="C24" s="128" t="s">
        <v>22</v>
      </c>
      <c r="D24" s="129">
        <v>50012760</v>
      </c>
      <c r="E24" s="129">
        <v>55002500</v>
      </c>
      <c r="F24" s="129">
        <v>93906600</v>
      </c>
      <c r="G24" s="126">
        <v>97662864</v>
      </c>
      <c r="H24" s="126">
        <v>97662864</v>
      </c>
      <c r="I24" s="126">
        <v>87896578</v>
      </c>
      <c r="J24" s="126">
        <v>97662864</v>
      </c>
      <c r="K24" s="399">
        <v>97662864</v>
      </c>
      <c r="L24" s="291">
        <f t="shared" si="2"/>
        <v>90.000000409572252</v>
      </c>
      <c r="M24" s="126">
        <f t="shared" si="0"/>
        <v>-9766286</v>
      </c>
      <c r="N24" s="400">
        <f t="shared" si="1"/>
        <v>-9766286</v>
      </c>
    </row>
    <row r="25" spans="2:14" x14ac:dyDescent="0.2">
      <c r="B25" s="127">
        <v>328</v>
      </c>
      <c r="C25" s="128" t="s">
        <v>23</v>
      </c>
      <c r="D25" s="129">
        <v>0</v>
      </c>
      <c r="E25" s="129">
        <v>0</v>
      </c>
      <c r="F25" s="129">
        <v>0</v>
      </c>
      <c r="G25" s="126">
        <v>0</v>
      </c>
      <c r="H25" s="126">
        <v>0</v>
      </c>
      <c r="I25" s="126">
        <v>0</v>
      </c>
      <c r="J25" s="126">
        <v>0</v>
      </c>
      <c r="K25" s="399">
        <v>0</v>
      </c>
      <c r="L25" s="291"/>
      <c r="M25" s="126">
        <f t="shared" si="0"/>
        <v>0</v>
      </c>
      <c r="N25" s="400">
        <f t="shared" si="1"/>
        <v>0</v>
      </c>
    </row>
    <row r="26" spans="2:14" x14ac:dyDescent="0.2">
      <c r="B26" s="127">
        <v>329</v>
      </c>
      <c r="C26" s="128" t="s">
        <v>24</v>
      </c>
      <c r="D26" s="129">
        <v>984026149.64999998</v>
      </c>
      <c r="E26" s="129">
        <v>1006586452.6799999</v>
      </c>
      <c r="F26" s="129">
        <v>1163568002.21</v>
      </c>
      <c r="G26" s="126">
        <v>1185221093.54</v>
      </c>
      <c r="H26" s="126">
        <v>1175491760</v>
      </c>
      <c r="I26" s="126">
        <v>1071232584</v>
      </c>
      <c r="J26" s="126">
        <v>1190281760</v>
      </c>
      <c r="K26" s="399">
        <v>1190281760</v>
      </c>
      <c r="L26" s="291">
        <f t="shared" si="2"/>
        <v>91.130590655948112</v>
      </c>
      <c r="M26" s="126">
        <f t="shared" si="0"/>
        <v>-104259176</v>
      </c>
      <c r="N26" s="400">
        <f t="shared" si="1"/>
        <v>-113988509.53999996</v>
      </c>
    </row>
    <row r="27" spans="2:14" x14ac:dyDescent="0.2">
      <c r="B27" s="127">
        <v>333</v>
      </c>
      <c r="C27" s="128" t="s">
        <v>25</v>
      </c>
      <c r="D27" s="129">
        <v>14270779219.51</v>
      </c>
      <c r="E27" s="129">
        <v>15136039381.32</v>
      </c>
      <c r="F27" s="129">
        <v>14758895052.09</v>
      </c>
      <c r="G27" s="126">
        <v>15185974945.029999</v>
      </c>
      <c r="H27" s="126">
        <v>16085870901</v>
      </c>
      <c r="I27" s="126">
        <v>13936380202</v>
      </c>
      <c r="J27" s="126">
        <v>15544967292</v>
      </c>
      <c r="K27" s="399">
        <v>15544967292</v>
      </c>
      <c r="L27" s="291">
        <f t="shared" si="2"/>
        <v>86.637399291409366</v>
      </c>
      <c r="M27" s="126">
        <f t="shared" si="0"/>
        <v>-2149490699</v>
      </c>
      <c r="N27" s="400">
        <f t="shared" si="1"/>
        <v>-1249594743.0299988</v>
      </c>
    </row>
    <row r="28" spans="2:14" x14ac:dyDescent="0.2">
      <c r="B28" s="127">
        <v>334</v>
      </c>
      <c r="C28" s="128" t="s">
        <v>26</v>
      </c>
      <c r="D28" s="129">
        <v>597061225</v>
      </c>
      <c r="E28" s="129">
        <v>628409749</v>
      </c>
      <c r="F28" s="129">
        <v>522944758</v>
      </c>
      <c r="G28" s="126">
        <v>510265883</v>
      </c>
      <c r="H28" s="126">
        <v>506240978</v>
      </c>
      <c r="I28" s="126">
        <v>460112881</v>
      </c>
      <c r="J28" s="126">
        <v>511236979</v>
      </c>
      <c r="K28" s="399">
        <v>511236979</v>
      </c>
      <c r="L28" s="291">
        <f t="shared" si="2"/>
        <v>90.888114750758092</v>
      </c>
      <c r="M28" s="126">
        <f t="shared" si="0"/>
        <v>-46128097</v>
      </c>
      <c r="N28" s="400">
        <f t="shared" si="1"/>
        <v>-50153002</v>
      </c>
    </row>
    <row r="29" spans="2:14" x14ac:dyDescent="0.2">
      <c r="B29" s="127">
        <v>335</v>
      </c>
      <c r="C29" s="128" t="s">
        <v>27</v>
      </c>
      <c r="D29" s="129">
        <v>1757756638.48</v>
      </c>
      <c r="E29" s="129">
        <v>1637340299.2</v>
      </c>
      <c r="F29" s="129">
        <v>1749677631.97</v>
      </c>
      <c r="G29" s="126">
        <v>1882174145.97</v>
      </c>
      <c r="H29" s="126">
        <v>1826098640</v>
      </c>
      <c r="I29" s="126">
        <v>1643274915</v>
      </c>
      <c r="J29" s="126">
        <v>1825884779</v>
      </c>
      <c r="K29" s="399">
        <v>1825884779</v>
      </c>
      <c r="L29" s="291">
        <f t="shared" si="2"/>
        <v>89.988288639216123</v>
      </c>
      <c r="M29" s="126">
        <f t="shared" si="0"/>
        <v>-182823725</v>
      </c>
      <c r="N29" s="400">
        <f t="shared" si="1"/>
        <v>-238899230.97000003</v>
      </c>
    </row>
    <row r="30" spans="2:14" x14ac:dyDescent="0.2">
      <c r="B30" s="127">
        <v>336</v>
      </c>
      <c r="C30" s="128" t="s">
        <v>28</v>
      </c>
      <c r="D30" s="129">
        <v>6676105.9199999999</v>
      </c>
      <c r="E30" s="129">
        <v>6112531.5499999998</v>
      </c>
      <c r="F30" s="129">
        <v>5624172.1400000006</v>
      </c>
      <c r="G30" s="126">
        <v>6563661.0299999993</v>
      </c>
      <c r="H30" s="126">
        <v>0</v>
      </c>
      <c r="I30" s="126">
        <v>0</v>
      </c>
      <c r="J30" s="126">
        <v>0</v>
      </c>
      <c r="K30" s="399">
        <v>0</v>
      </c>
      <c r="L30" s="291"/>
      <c r="M30" s="126">
        <f t="shared" si="0"/>
        <v>0</v>
      </c>
      <c r="N30" s="400">
        <f t="shared" si="1"/>
        <v>-6563661.0299999993</v>
      </c>
    </row>
    <row r="31" spans="2:14" x14ac:dyDescent="0.2">
      <c r="B31" s="127">
        <v>343</v>
      </c>
      <c r="C31" s="128" t="s">
        <v>29</v>
      </c>
      <c r="D31" s="129">
        <v>0</v>
      </c>
      <c r="E31" s="129">
        <v>0</v>
      </c>
      <c r="F31" s="129">
        <v>0</v>
      </c>
      <c r="G31" s="126">
        <v>0</v>
      </c>
      <c r="H31" s="126">
        <v>0</v>
      </c>
      <c r="I31" s="126">
        <v>0</v>
      </c>
      <c r="J31" s="126">
        <v>0</v>
      </c>
      <c r="K31" s="399">
        <v>0</v>
      </c>
      <c r="L31" s="291"/>
      <c r="M31" s="126">
        <f t="shared" si="0"/>
        <v>0</v>
      </c>
      <c r="N31" s="400">
        <f t="shared" si="1"/>
        <v>0</v>
      </c>
    </row>
    <row r="32" spans="2:14" x14ac:dyDescent="0.2">
      <c r="B32" s="127">
        <v>344</v>
      </c>
      <c r="C32" s="128" t="s">
        <v>30</v>
      </c>
      <c r="D32" s="129">
        <v>0</v>
      </c>
      <c r="E32" s="129">
        <v>0</v>
      </c>
      <c r="F32" s="129">
        <v>0</v>
      </c>
      <c r="G32" s="126">
        <v>0</v>
      </c>
      <c r="H32" s="126">
        <v>0</v>
      </c>
      <c r="I32" s="126">
        <v>0</v>
      </c>
      <c r="J32" s="126">
        <v>0</v>
      </c>
      <c r="K32" s="399">
        <v>0</v>
      </c>
      <c r="L32" s="291"/>
      <c r="M32" s="126">
        <f t="shared" si="0"/>
        <v>0</v>
      </c>
      <c r="N32" s="400">
        <f t="shared" si="1"/>
        <v>0</v>
      </c>
    </row>
    <row r="33" spans="2:14" x14ac:dyDescent="0.2">
      <c r="B33" s="127">
        <v>345</v>
      </c>
      <c r="C33" s="128" t="s">
        <v>31</v>
      </c>
      <c r="D33" s="129">
        <v>0</v>
      </c>
      <c r="E33" s="129">
        <v>0</v>
      </c>
      <c r="F33" s="129">
        <v>0</v>
      </c>
      <c r="G33" s="126">
        <v>0</v>
      </c>
      <c r="H33" s="126">
        <v>0</v>
      </c>
      <c r="I33" s="126">
        <v>0</v>
      </c>
      <c r="J33" s="126">
        <v>0</v>
      </c>
      <c r="K33" s="399">
        <v>0</v>
      </c>
      <c r="L33" s="291"/>
      <c r="M33" s="126">
        <f t="shared" si="0"/>
        <v>0</v>
      </c>
      <c r="N33" s="400">
        <f t="shared" si="1"/>
        <v>0</v>
      </c>
    </row>
    <row r="34" spans="2:14" x14ac:dyDescent="0.2">
      <c r="B34" s="127">
        <v>346</v>
      </c>
      <c r="C34" s="128" t="s">
        <v>32</v>
      </c>
      <c r="D34" s="129">
        <v>0</v>
      </c>
      <c r="E34" s="129">
        <v>0</v>
      </c>
      <c r="F34" s="129">
        <v>0</v>
      </c>
      <c r="G34" s="126">
        <v>0</v>
      </c>
      <c r="H34" s="126">
        <v>0</v>
      </c>
      <c r="I34" s="126">
        <v>0</v>
      </c>
      <c r="J34" s="126">
        <v>0</v>
      </c>
      <c r="K34" s="399">
        <v>0</v>
      </c>
      <c r="L34" s="291"/>
      <c r="M34" s="126">
        <f t="shared" si="0"/>
        <v>0</v>
      </c>
      <c r="N34" s="400">
        <f t="shared" si="1"/>
        <v>0</v>
      </c>
    </row>
    <row r="35" spans="2:14" x14ac:dyDescent="0.2">
      <c r="B35" s="127">
        <v>348</v>
      </c>
      <c r="C35" s="128" t="s">
        <v>33</v>
      </c>
      <c r="D35" s="129">
        <v>0</v>
      </c>
      <c r="E35" s="129">
        <v>0</v>
      </c>
      <c r="F35" s="129">
        <v>0</v>
      </c>
      <c r="G35" s="126">
        <v>0</v>
      </c>
      <c r="H35" s="126">
        <v>0</v>
      </c>
      <c r="I35" s="126">
        <v>0</v>
      </c>
      <c r="J35" s="126">
        <v>0</v>
      </c>
      <c r="K35" s="399">
        <v>0</v>
      </c>
      <c r="L35" s="291"/>
      <c r="M35" s="126">
        <f t="shared" si="0"/>
        <v>0</v>
      </c>
      <c r="N35" s="400">
        <f t="shared" si="1"/>
        <v>0</v>
      </c>
    </row>
    <row r="36" spans="2:14" x14ac:dyDescent="0.2">
      <c r="B36" s="127">
        <v>349</v>
      </c>
      <c r="C36" s="128" t="s">
        <v>34</v>
      </c>
      <c r="D36" s="129">
        <v>0</v>
      </c>
      <c r="E36" s="129">
        <v>0</v>
      </c>
      <c r="F36" s="129">
        <v>0</v>
      </c>
      <c r="G36" s="126">
        <v>0</v>
      </c>
      <c r="H36" s="126">
        <v>0</v>
      </c>
      <c r="I36" s="126">
        <v>0</v>
      </c>
      <c r="J36" s="126">
        <v>0</v>
      </c>
      <c r="K36" s="399">
        <v>0</v>
      </c>
      <c r="L36" s="291"/>
      <c r="M36" s="126">
        <f t="shared" si="0"/>
        <v>0</v>
      </c>
      <c r="N36" s="400">
        <f t="shared" si="1"/>
        <v>0</v>
      </c>
    </row>
    <row r="37" spans="2:14" x14ac:dyDescent="0.2">
      <c r="B37" s="127">
        <v>353</v>
      </c>
      <c r="C37" s="128" t="s">
        <v>35</v>
      </c>
      <c r="D37" s="129">
        <v>0</v>
      </c>
      <c r="E37" s="129">
        <v>0</v>
      </c>
      <c r="F37" s="129">
        <v>0</v>
      </c>
      <c r="G37" s="126">
        <v>0</v>
      </c>
      <c r="H37" s="126">
        <v>0</v>
      </c>
      <c r="I37" s="126">
        <v>0</v>
      </c>
      <c r="J37" s="126">
        <v>0</v>
      </c>
      <c r="K37" s="399">
        <v>0</v>
      </c>
      <c r="L37" s="291"/>
      <c r="M37" s="126">
        <f t="shared" si="0"/>
        <v>0</v>
      </c>
      <c r="N37" s="400">
        <f t="shared" si="1"/>
        <v>0</v>
      </c>
    </row>
    <row r="38" spans="2:14" x14ac:dyDescent="0.2">
      <c r="B38" s="127">
        <v>355</v>
      </c>
      <c r="C38" s="128" t="s">
        <v>36</v>
      </c>
      <c r="D38" s="129">
        <v>7678505.2599999998</v>
      </c>
      <c r="E38" s="129">
        <v>9930257.2799999993</v>
      </c>
      <c r="F38" s="129">
        <v>6934750.1699999999</v>
      </c>
      <c r="G38" s="126">
        <v>4844029.2</v>
      </c>
      <c r="H38" s="126">
        <v>0</v>
      </c>
      <c r="I38" s="126">
        <v>0</v>
      </c>
      <c r="J38" s="126">
        <v>0</v>
      </c>
      <c r="K38" s="399">
        <v>0</v>
      </c>
      <c r="L38" s="291"/>
      <c r="M38" s="126">
        <f t="shared" si="0"/>
        <v>0</v>
      </c>
      <c r="N38" s="400">
        <f t="shared" si="1"/>
        <v>-4844029.2</v>
      </c>
    </row>
    <row r="39" spans="2:14" x14ac:dyDescent="0.2">
      <c r="B39" s="127">
        <v>358</v>
      </c>
      <c r="C39" s="128" t="s">
        <v>37</v>
      </c>
      <c r="D39" s="129">
        <v>0</v>
      </c>
      <c r="E39" s="129">
        <v>0</v>
      </c>
      <c r="F39" s="129">
        <v>0</v>
      </c>
      <c r="G39" s="126">
        <v>0</v>
      </c>
      <c r="H39" s="126">
        <v>0</v>
      </c>
      <c r="I39" s="126">
        <v>0</v>
      </c>
      <c r="J39" s="126">
        <v>0</v>
      </c>
      <c r="K39" s="399">
        <v>0</v>
      </c>
      <c r="L39" s="291"/>
      <c r="M39" s="126">
        <f t="shared" si="0"/>
        <v>0</v>
      </c>
      <c r="N39" s="400">
        <f t="shared" si="1"/>
        <v>0</v>
      </c>
    </row>
    <row r="40" spans="2:14" x14ac:dyDescent="0.2">
      <c r="B40" s="127">
        <v>359</v>
      </c>
      <c r="C40" s="128" t="s">
        <v>38</v>
      </c>
      <c r="D40" s="129">
        <v>0</v>
      </c>
      <c r="E40" s="129">
        <v>0</v>
      </c>
      <c r="F40" s="129">
        <v>0</v>
      </c>
      <c r="G40" s="126">
        <v>0</v>
      </c>
      <c r="H40" s="126">
        <v>0</v>
      </c>
      <c r="I40" s="126">
        <v>0</v>
      </c>
      <c r="J40" s="126">
        <v>0</v>
      </c>
      <c r="K40" s="399">
        <v>0</v>
      </c>
      <c r="L40" s="291"/>
      <c r="M40" s="126">
        <f t="shared" si="0"/>
        <v>0</v>
      </c>
      <c r="N40" s="400">
        <f t="shared" si="1"/>
        <v>0</v>
      </c>
    </row>
    <row r="41" spans="2:14" x14ac:dyDescent="0.2">
      <c r="B41" s="127">
        <v>361</v>
      </c>
      <c r="C41" s="128" t="s">
        <v>39</v>
      </c>
      <c r="D41" s="129">
        <v>6093427633.9300003</v>
      </c>
      <c r="E41" s="129">
        <v>6667259771.1499996</v>
      </c>
      <c r="F41" s="129">
        <v>6947933945.3800001</v>
      </c>
      <c r="G41" s="126">
        <v>7099801273.5299997</v>
      </c>
      <c r="H41" s="126">
        <v>7177109835</v>
      </c>
      <c r="I41" s="126">
        <v>6565515965</v>
      </c>
      <c r="J41" s="126">
        <v>7298044519</v>
      </c>
      <c r="K41" s="399">
        <v>7298044519</v>
      </c>
      <c r="L41" s="291">
        <f t="shared" si="2"/>
        <v>91.478549387422049</v>
      </c>
      <c r="M41" s="126">
        <f t="shared" si="0"/>
        <v>-611593870</v>
      </c>
      <c r="N41" s="400">
        <f t="shared" si="1"/>
        <v>-534285308.52999973</v>
      </c>
    </row>
    <row r="42" spans="2:14" x14ac:dyDescent="0.2">
      <c r="B42" s="127">
        <v>362</v>
      </c>
      <c r="C42" s="128" t="s">
        <v>40</v>
      </c>
      <c r="D42" s="126">
        <v>0</v>
      </c>
      <c r="E42" s="126">
        <v>0</v>
      </c>
      <c r="F42" s="126">
        <v>0</v>
      </c>
      <c r="G42" s="126">
        <v>0</v>
      </c>
      <c r="H42" s="126">
        <v>0</v>
      </c>
      <c r="I42" s="126">
        <v>0</v>
      </c>
      <c r="J42" s="126">
        <v>0</v>
      </c>
      <c r="K42" s="399">
        <v>0</v>
      </c>
      <c r="L42" s="291"/>
      <c r="M42" s="126">
        <f t="shared" si="0"/>
        <v>0</v>
      </c>
      <c r="N42" s="400">
        <f t="shared" si="1"/>
        <v>0</v>
      </c>
    </row>
    <row r="43" spans="2:14" x14ac:dyDescent="0.2">
      <c r="B43" s="127">
        <v>364</v>
      </c>
      <c r="C43" s="128" t="s">
        <v>385</v>
      </c>
      <c r="D43" s="126"/>
      <c r="E43" s="126"/>
      <c r="F43" s="126"/>
      <c r="G43" s="126"/>
      <c r="H43" s="126"/>
      <c r="I43" s="126">
        <v>0</v>
      </c>
      <c r="J43" s="126">
        <v>0</v>
      </c>
      <c r="K43" s="399">
        <v>0</v>
      </c>
      <c r="L43" s="291"/>
      <c r="M43" s="126"/>
      <c r="N43" s="400">
        <f t="shared" si="1"/>
        <v>0</v>
      </c>
    </row>
    <row r="44" spans="2:14" ht="25.5" x14ac:dyDescent="0.2">
      <c r="B44" s="127">
        <v>371</v>
      </c>
      <c r="C44" s="131" t="s">
        <v>41</v>
      </c>
      <c r="D44" s="126">
        <v>0</v>
      </c>
      <c r="E44" s="126">
        <v>0</v>
      </c>
      <c r="F44" s="126">
        <v>0</v>
      </c>
      <c r="G44" s="126">
        <v>0</v>
      </c>
      <c r="H44" s="126">
        <v>0</v>
      </c>
      <c r="I44" s="126">
        <v>0</v>
      </c>
      <c r="J44" s="126">
        <v>0</v>
      </c>
      <c r="K44" s="399">
        <v>0</v>
      </c>
      <c r="L44" s="291"/>
      <c r="M44" s="126">
        <f t="shared" si="0"/>
        <v>0</v>
      </c>
      <c r="N44" s="400">
        <f t="shared" si="1"/>
        <v>0</v>
      </c>
    </row>
    <row r="45" spans="2:14" x14ac:dyDescent="0.2">
      <c r="B45" s="127">
        <v>372</v>
      </c>
      <c r="C45" s="128" t="s">
        <v>42</v>
      </c>
      <c r="D45" s="126">
        <v>0</v>
      </c>
      <c r="E45" s="126">
        <v>0</v>
      </c>
      <c r="F45" s="126">
        <v>0</v>
      </c>
      <c r="G45" s="126">
        <v>0</v>
      </c>
      <c r="H45" s="126">
        <v>0</v>
      </c>
      <c r="I45" s="126">
        <v>0</v>
      </c>
      <c r="J45" s="126">
        <v>0</v>
      </c>
      <c r="K45" s="399">
        <v>0</v>
      </c>
      <c r="L45" s="291"/>
      <c r="M45" s="126">
        <f t="shared" si="0"/>
        <v>0</v>
      </c>
      <c r="N45" s="400">
        <f t="shared" si="1"/>
        <v>0</v>
      </c>
    </row>
    <row r="46" spans="2:14" x14ac:dyDescent="0.2">
      <c r="B46" s="127">
        <v>373</v>
      </c>
      <c r="C46" s="128" t="s">
        <v>43</v>
      </c>
      <c r="D46" s="126">
        <v>0</v>
      </c>
      <c r="E46" s="126">
        <v>0</v>
      </c>
      <c r="F46" s="126">
        <v>0</v>
      </c>
      <c r="G46" s="126">
        <v>0</v>
      </c>
      <c r="H46" s="126">
        <v>0</v>
      </c>
      <c r="I46" s="126">
        <v>0</v>
      </c>
      <c r="J46" s="126">
        <v>0</v>
      </c>
      <c r="K46" s="399">
        <v>0</v>
      </c>
      <c r="L46" s="291"/>
      <c r="M46" s="126">
        <f t="shared" si="0"/>
        <v>0</v>
      </c>
      <c r="N46" s="400">
        <f t="shared" si="1"/>
        <v>0</v>
      </c>
    </row>
    <row r="47" spans="2:14" x14ac:dyDescent="0.2">
      <c r="B47" s="127">
        <v>374</v>
      </c>
      <c r="C47" s="128" t="s">
        <v>44</v>
      </c>
      <c r="D47" s="126">
        <v>0</v>
      </c>
      <c r="E47" s="126">
        <v>0</v>
      </c>
      <c r="F47" s="126">
        <v>0</v>
      </c>
      <c r="G47" s="126">
        <v>0</v>
      </c>
      <c r="H47" s="126">
        <v>0</v>
      </c>
      <c r="I47" s="126">
        <v>0</v>
      </c>
      <c r="J47" s="126">
        <v>0</v>
      </c>
      <c r="K47" s="399">
        <v>0</v>
      </c>
      <c r="L47" s="291"/>
      <c r="M47" s="126">
        <f t="shared" si="0"/>
        <v>0</v>
      </c>
      <c r="N47" s="400">
        <f t="shared" si="1"/>
        <v>0</v>
      </c>
    </row>
    <row r="48" spans="2:14" x14ac:dyDescent="0.2">
      <c r="B48" s="127">
        <v>375</v>
      </c>
      <c r="C48" s="128" t="s">
        <v>45</v>
      </c>
      <c r="D48" s="126">
        <v>0</v>
      </c>
      <c r="E48" s="126">
        <v>0</v>
      </c>
      <c r="F48" s="126">
        <v>0</v>
      </c>
      <c r="G48" s="126">
        <v>0</v>
      </c>
      <c r="H48" s="126">
        <v>0</v>
      </c>
      <c r="I48" s="126">
        <v>0</v>
      </c>
      <c r="J48" s="126">
        <v>0</v>
      </c>
      <c r="K48" s="399">
        <v>0</v>
      </c>
      <c r="L48" s="291"/>
      <c r="M48" s="126">
        <f t="shared" si="0"/>
        <v>0</v>
      </c>
      <c r="N48" s="400">
        <f t="shared" si="1"/>
        <v>0</v>
      </c>
    </row>
    <row r="49" spans="2:14" x14ac:dyDescent="0.2">
      <c r="B49" s="127">
        <v>376</v>
      </c>
      <c r="C49" s="128" t="s">
        <v>46</v>
      </c>
      <c r="D49" s="126">
        <v>0</v>
      </c>
      <c r="E49" s="126">
        <v>0</v>
      </c>
      <c r="F49" s="126">
        <v>0</v>
      </c>
      <c r="G49" s="126">
        <v>0</v>
      </c>
      <c r="H49" s="126">
        <v>0</v>
      </c>
      <c r="I49" s="126">
        <v>0</v>
      </c>
      <c r="J49" s="126">
        <v>0</v>
      </c>
      <c r="K49" s="399">
        <v>0</v>
      </c>
      <c r="L49" s="291"/>
      <c r="M49" s="126">
        <f t="shared" si="0"/>
        <v>0</v>
      </c>
      <c r="N49" s="400">
        <f t="shared" si="1"/>
        <v>0</v>
      </c>
    </row>
    <row r="50" spans="2:14" x14ac:dyDescent="0.2">
      <c r="B50" s="127">
        <v>377</v>
      </c>
      <c r="C50" s="128" t="s">
        <v>47</v>
      </c>
      <c r="D50" s="126">
        <v>4315737934.5500002</v>
      </c>
      <c r="E50" s="126">
        <v>5050391619.5699997</v>
      </c>
      <c r="F50" s="126">
        <v>5445200575.0700026</v>
      </c>
      <c r="G50" s="126">
        <v>4979917305.9599981</v>
      </c>
      <c r="H50" s="126">
        <v>5593299030</v>
      </c>
      <c r="I50" s="126">
        <v>4895957258</v>
      </c>
      <c r="J50" s="126">
        <v>5495009359</v>
      </c>
      <c r="K50" s="399">
        <v>5495009359</v>
      </c>
      <c r="L50" s="291">
        <f t="shared" si="2"/>
        <v>87.532549783951026</v>
      </c>
      <c r="M50" s="126">
        <f t="shared" si="0"/>
        <v>-697341772</v>
      </c>
      <c r="N50" s="400">
        <f t="shared" si="1"/>
        <v>-83960047.959998131</v>
      </c>
    </row>
    <row r="51" spans="2:14" ht="25.5" x14ac:dyDescent="0.2">
      <c r="B51" s="127">
        <v>378</v>
      </c>
      <c r="C51" s="131" t="s">
        <v>48</v>
      </c>
      <c r="D51" s="126">
        <v>0</v>
      </c>
      <c r="E51" s="126">
        <v>0</v>
      </c>
      <c r="F51" s="126">
        <v>0</v>
      </c>
      <c r="G51" s="126">
        <v>0</v>
      </c>
      <c r="H51" s="126">
        <v>0</v>
      </c>
      <c r="I51" s="126">
        <v>0</v>
      </c>
      <c r="J51" s="126">
        <v>0</v>
      </c>
      <c r="K51" s="399">
        <v>0</v>
      </c>
      <c r="L51" s="291"/>
      <c r="M51" s="126">
        <f t="shared" si="0"/>
        <v>0</v>
      </c>
      <c r="N51" s="400">
        <f t="shared" si="1"/>
        <v>0</v>
      </c>
    </row>
    <row r="52" spans="2:14" x14ac:dyDescent="0.2">
      <c r="B52" s="127">
        <v>381</v>
      </c>
      <c r="C52" s="128" t="s">
        <v>49</v>
      </c>
      <c r="D52" s="126">
        <v>0</v>
      </c>
      <c r="E52" s="126">
        <v>0</v>
      </c>
      <c r="F52" s="126">
        <v>0</v>
      </c>
      <c r="G52" s="126">
        <v>0</v>
      </c>
      <c r="H52" s="126">
        <v>0</v>
      </c>
      <c r="I52" s="126">
        <v>0</v>
      </c>
      <c r="J52" s="126">
        <v>0</v>
      </c>
      <c r="K52" s="399">
        <v>0</v>
      </c>
      <c r="L52" s="291"/>
      <c r="M52" s="126">
        <f t="shared" si="0"/>
        <v>0</v>
      </c>
      <c r="N52" s="400">
        <f t="shared" si="1"/>
        <v>0</v>
      </c>
    </row>
    <row r="53" spans="2:14" x14ac:dyDescent="0.2">
      <c r="B53" s="127">
        <v>396</v>
      </c>
      <c r="C53" s="128" t="s">
        <v>50</v>
      </c>
      <c r="D53" s="126">
        <v>0</v>
      </c>
      <c r="E53" s="126">
        <v>0</v>
      </c>
      <c r="F53" s="126">
        <v>0</v>
      </c>
      <c r="G53" s="126">
        <v>0</v>
      </c>
      <c r="H53" s="126">
        <v>0</v>
      </c>
      <c r="I53" s="126">
        <v>0</v>
      </c>
      <c r="J53" s="126">
        <v>0</v>
      </c>
      <c r="K53" s="399">
        <v>0</v>
      </c>
      <c r="L53" s="291"/>
      <c r="M53" s="126">
        <f t="shared" si="0"/>
        <v>0</v>
      </c>
      <c r="N53" s="400">
        <f t="shared" si="1"/>
        <v>0</v>
      </c>
    </row>
    <row r="54" spans="2:14" x14ac:dyDescent="0.2">
      <c r="B54" s="127">
        <v>397</v>
      </c>
      <c r="C54" s="128" t="s">
        <v>51</v>
      </c>
      <c r="D54" s="126">
        <v>0</v>
      </c>
      <c r="E54" s="126">
        <v>0</v>
      </c>
      <c r="F54" s="126">
        <v>0</v>
      </c>
      <c r="G54" s="126">
        <v>0</v>
      </c>
      <c r="H54" s="126">
        <v>0</v>
      </c>
      <c r="I54" s="126">
        <v>0</v>
      </c>
      <c r="J54" s="126">
        <v>0</v>
      </c>
      <c r="K54" s="399">
        <v>0</v>
      </c>
      <c r="L54" s="291"/>
      <c r="M54" s="126">
        <f t="shared" si="0"/>
        <v>0</v>
      </c>
      <c r="N54" s="400">
        <f t="shared" si="1"/>
        <v>0</v>
      </c>
    </row>
    <row r="55" spans="2:14" x14ac:dyDescent="0.2">
      <c r="B55" s="127">
        <v>398</v>
      </c>
      <c r="C55" s="128" t="s">
        <v>52</v>
      </c>
      <c r="D55" s="126">
        <v>0</v>
      </c>
      <c r="E55" s="126">
        <v>0</v>
      </c>
      <c r="F55" s="126">
        <v>0</v>
      </c>
      <c r="G55" s="126">
        <v>0</v>
      </c>
      <c r="H55" s="126">
        <v>0</v>
      </c>
      <c r="I55" s="126">
        <v>0</v>
      </c>
      <c r="J55" s="126">
        <v>0</v>
      </c>
      <c r="K55" s="399">
        <v>0</v>
      </c>
      <c r="L55" s="291"/>
      <c r="M55" s="126">
        <f t="shared" si="0"/>
        <v>0</v>
      </c>
      <c r="N55" s="400">
        <f t="shared" si="1"/>
        <v>0</v>
      </c>
    </row>
    <row r="56" spans="2:14" x14ac:dyDescent="0.2">
      <c r="B56" s="132"/>
      <c r="C56" s="133"/>
      <c r="D56" s="126"/>
      <c r="E56" s="126"/>
      <c r="F56" s="126"/>
      <c r="G56" s="126"/>
      <c r="H56" s="126"/>
      <c r="I56" s="126"/>
      <c r="J56" s="126"/>
      <c r="K56" s="426"/>
      <c r="L56" s="427"/>
      <c r="M56" s="135"/>
      <c r="N56" s="418"/>
    </row>
    <row r="57" spans="2:14" ht="13.5" thickBot="1" x14ac:dyDescent="0.25">
      <c r="B57" s="136"/>
      <c r="C57" s="137"/>
      <c r="D57" s="138"/>
      <c r="E57" s="138"/>
      <c r="F57" s="138"/>
      <c r="G57" s="253"/>
      <c r="H57" s="253"/>
      <c r="I57" s="253"/>
      <c r="J57" s="253"/>
      <c r="K57" s="253"/>
      <c r="L57" s="428"/>
      <c r="M57" s="253"/>
      <c r="N57" s="404"/>
    </row>
    <row r="58" spans="2:14" ht="17.25" customHeight="1" thickTop="1" thickBot="1" x14ac:dyDescent="0.25">
      <c r="B58" s="139"/>
      <c r="C58" s="140" t="s">
        <v>309</v>
      </c>
      <c r="D58" s="141">
        <v>36649495298.409996</v>
      </c>
      <c r="E58" s="141">
        <v>38098404977.629997</v>
      </c>
      <c r="F58" s="141">
        <v>38301830531.379997</v>
      </c>
      <c r="G58" s="254">
        <v>38617744295.469994</v>
      </c>
      <c r="H58" s="254">
        <v>40190167144</v>
      </c>
      <c r="I58" s="254">
        <v>35781867147</v>
      </c>
      <c r="J58" s="254">
        <v>39833779569</v>
      </c>
      <c r="K58" s="256">
        <v>39833779569</v>
      </c>
      <c r="L58" s="443">
        <f t="shared" si="2"/>
        <v>89.031396706549614</v>
      </c>
      <c r="M58" s="256">
        <f t="shared" si="0"/>
        <v>-4408299997</v>
      </c>
      <c r="N58" s="254">
        <f t="shared" si="1"/>
        <v>-2835877148.4699936</v>
      </c>
    </row>
    <row r="59" spans="2:14" x14ac:dyDescent="0.2">
      <c r="C59" s="117"/>
      <c r="D59" s="142"/>
      <c r="E59" s="142"/>
      <c r="F59" s="142"/>
      <c r="G59" s="258"/>
      <c r="H59" s="258"/>
      <c r="I59" s="258"/>
      <c r="J59" s="258"/>
      <c r="K59" s="258"/>
      <c r="L59" s="429"/>
    </row>
  </sheetData>
  <mergeCells count="3">
    <mergeCell ref="C5:F5"/>
    <mergeCell ref="B3:K3"/>
    <mergeCell ref="B4:K4"/>
  </mergeCells>
  <printOptions horizontalCentered="1"/>
  <pageMargins left="0.27559055118110237" right="0.39370078740157483" top="0.63" bottom="0.7" header="0.44" footer="0.51181102362204722"/>
  <pageSetup paperSize="9" scale="6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8B10F1AC230D418ED54A832DDBD537" ma:contentTypeVersion="3" ma:contentTypeDescription="Vytvoří nový dokument" ma:contentTypeScope="" ma:versionID="a05d63e5245de7b9cae653a3e43d77a0">
  <xsd:schema xmlns:xsd="http://www.w3.org/2001/XMLSchema" xmlns:xs="http://www.w3.org/2001/XMLSchema" xmlns:p="http://schemas.microsoft.com/office/2006/metadata/properties" xmlns:ns2="f16f5f44-5111-4bfc-8ee7-dcb217edc409" targetNamespace="http://schemas.microsoft.com/office/2006/metadata/properties" ma:root="true" ma:fieldsID="c3ddb36d5c6a34f133eb61ded1e0df24" ns2:_="">
    <xsd:import namespace="f16f5f44-5111-4bfc-8ee7-dcb217edc4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f5f44-5111-4bfc-8ee7-dcb217edc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9FD3DD-634A-457E-9087-C40379F6F345}"/>
</file>

<file path=customXml/itemProps2.xml><?xml version="1.0" encoding="utf-8"?>
<ds:datastoreItem xmlns:ds="http://schemas.openxmlformats.org/officeDocument/2006/customXml" ds:itemID="{E5E8C865-66D2-4B38-B939-CFE3D208B8B7}"/>
</file>

<file path=customXml/itemProps3.xml><?xml version="1.0" encoding="utf-8"?>
<ds:datastoreItem xmlns:ds="http://schemas.openxmlformats.org/officeDocument/2006/customXml" ds:itemID="{CFB2A217-7AAC-4CDC-BEF6-0F7E8B4764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19</vt:i4>
      </vt:variant>
    </vt:vector>
  </HeadingPairs>
  <TitlesOfParts>
    <vt:vector size="36" baseType="lpstr">
      <vt:lpstr>Obal</vt:lpstr>
      <vt:lpstr>T1 příjmy </vt:lpstr>
      <vt:lpstr>T2 příjmy bez EUaFM</vt:lpstr>
      <vt:lpstr>T3 příjmy-pojistné </vt:lpstr>
      <vt:lpstr>T4 výdaje </vt:lpstr>
      <vt:lpstr>T5 výdaje bez EUaFM</vt:lpstr>
      <vt:lpstr>T6 ZRS  </vt:lpstr>
      <vt:lpstr>T7 platy OSS a PO</vt:lpstr>
      <vt:lpstr>T8 výzkum bez EUaFM</vt:lpstr>
      <vt:lpstr>T9  soc. výdaje a PZ </vt:lpstr>
      <vt:lpstr>T10 EU 24</vt:lpstr>
      <vt:lpstr>T11 FM 24</vt:lpstr>
      <vt:lpstr>T12 EU-VVI 24</vt:lpstr>
      <vt:lpstr>T13 NPO 24</vt:lpstr>
      <vt:lpstr>T14 SF 2024</vt:lpstr>
      <vt:lpstr>T15 SF 2025</vt:lpstr>
      <vt:lpstr>T16 SF 2026</vt:lpstr>
      <vt:lpstr>'T10 EU 24'!Názvy_tisku</vt:lpstr>
      <vt:lpstr>'T7 platy OSS a PO'!Názvy_tisku</vt:lpstr>
      <vt:lpstr>Obal!Oblast_tisku</vt:lpstr>
      <vt:lpstr>'T1 příjmy '!Oblast_tisku</vt:lpstr>
      <vt:lpstr>'T10 EU 24'!Oblast_tisku</vt:lpstr>
      <vt:lpstr>'T11 FM 24'!Oblast_tisku</vt:lpstr>
      <vt:lpstr>'T12 EU-VVI 24'!Oblast_tisku</vt:lpstr>
      <vt:lpstr>'T13 NPO 24'!Oblast_tisku</vt:lpstr>
      <vt:lpstr>'T14 SF 2024'!Oblast_tisku</vt:lpstr>
      <vt:lpstr>'T15 SF 2025'!Oblast_tisku</vt:lpstr>
      <vt:lpstr>'T16 SF 2026'!Oblast_tisku</vt:lpstr>
      <vt:lpstr>'T2 příjmy bez EUaFM'!Oblast_tisku</vt:lpstr>
      <vt:lpstr>'T3 příjmy-pojistné '!Oblast_tisku</vt:lpstr>
      <vt:lpstr>'T4 výdaje '!Oblast_tisku</vt:lpstr>
      <vt:lpstr>'T5 výdaje bez EUaFM'!Oblast_tisku</vt:lpstr>
      <vt:lpstr>'T6 ZRS  '!Oblast_tisku</vt:lpstr>
      <vt:lpstr>'T7 platy OSS a PO'!Oblast_tisku</vt:lpstr>
      <vt:lpstr>'T8 výzkum bez EUaFM'!Oblast_tisku</vt:lpstr>
      <vt:lpstr>'T9  soc. výdaje a PZ 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Hrstková Alexandra Ing.</dc:creator>
  <cp:lastModifiedBy>Čížek Martin Ing.</cp:lastModifiedBy>
  <cp:lastPrinted>2023-05-31T06:49:08Z</cp:lastPrinted>
  <dcterms:created xsi:type="dcterms:W3CDTF">2021-05-20T07:54:43Z</dcterms:created>
  <dcterms:modified xsi:type="dcterms:W3CDTF">2023-05-31T06:50:12Z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0x010100998B10F1AC230D418ED54A832DDBD537</vt:lpwstr>
  </property>
</Properties>
</file>